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02244\Desktop\Periodo Crise\XPLG11\Planilha de Fundamentos\"/>
    </mc:Choice>
  </mc:AlternateContent>
  <bookViews>
    <workbookView xWindow="0" yWindow="0" windowWidth="20490" windowHeight="6315" activeTab="2"/>
  </bookViews>
  <sheets>
    <sheet name="Características" sheetId="1" r:id="rId1"/>
    <sheet name="Portfolio" sheetId="6" r:id="rId2"/>
    <sheet name="Indicadores Financeiros" sheetId="8" r:id="rId3"/>
  </sheets>
  <externalReferences>
    <externalReference r:id="rId4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B" localSheetId="2">#REF!</definedName>
    <definedName name="\B">#REF!</definedName>
    <definedName name="\d">#N/A</definedName>
    <definedName name="\e">#N/A</definedName>
    <definedName name="\f">#N/A</definedName>
    <definedName name="\j" localSheetId="2">#REF!</definedName>
    <definedName name="\j">#REF!</definedName>
    <definedName name="\k" localSheetId="2">#REF!</definedName>
    <definedName name="\k">#REF!</definedName>
    <definedName name="\m" localSheetId="2">#REF!</definedName>
    <definedName name="\m">#REF!</definedName>
    <definedName name="\n" localSheetId="2">#REF!</definedName>
    <definedName name="\n">#REF!</definedName>
    <definedName name="\P" localSheetId="2">#REF!</definedName>
    <definedName name="\P">#REF!</definedName>
    <definedName name="\Q" localSheetId="2">#REF!</definedName>
    <definedName name="\Q">#REF!</definedName>
    <definedName name="\S" localSheetId="2">#REF!</definedName>
    <definedName name="\S">#REF!</definedName>
    <definedName name="\W" localSheetId="2">#REF!</definedName>
    <definedName name="\W">#REF!</definedName>
    <definedName name="_6_0HOLAMBRA" localSheetId="2">#REF!</definedName>
    <definedName name="_6_0HOLAMBRA">#REF!</definedName>
    <definedName name="_89ACT">#N/A</definedName>
    <definedName name="_9HOLAMBRA" localSheetId="2">#REF!</definedName>
    <definedName name="_9HOLAMBRA">#REF!</definedName>
    <definedName name="_cif5" localSheetId="2">#REF!,#REF!,#REF!,#REF!</definedName>
    <definedName name="_cif5">#REF!,#REF!,#REF!,#REF!</definedName>
    <definedName name="_DAT10" localSheetId="2">#REF!</definedName>
    <definedName name="_DAT10">#REF!</definedName>
    <definedName name="_DAT12" localSheetId="2">#REF!</definedName>
    <definedName name="_DAT12">#REF!</definedName>
    <definedName name="_DAT3" localSheetId="2">#REF!</definedName>
    <definedName name="_DAT3">#REF!</definedName>
    <definedName name="_DAT6" localSheetId="2">#REF!</definedName>
    <definedName name="_DAT6">#REF!</definedName>
    <definedName name="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hidden="1">{"Despesas Diferidas Indedutíveis de 1998",#N/A,FALSE,"Impressão"}</definedName>
    <definedName name="_xlnm._FilterDatabase" localSheetId="2" hidden="1">#REF!</definedName>
    <definedName name="_xlnm._FilterDatabase" hidden="1">#REF!</definedName>
    <definedName name="_GTO1" localSheetId="2">#REF!</definedName>
    <definedName name="_GTO1">#REF!</definedName>
    <definedName name="_GTO2" localSheetId="2">#REF!</definedName>
    <definedName name="_GTO2">#REF!</definedName>
    <definedName name="_k2" localSheetId="2">#REF!</definedName>
    <definedName name="_k2">#REF!</definedName>
    <definedName name="_Key1" localSheetId="2" hidden="1">#REF!</definedName>
    <definedName name="_Key1" hidden="1">#REF!</definedName>
    <definedName name="_NAT30" localSheetId="2">#REF!</definedName>
    <definedName name="_NAT30">#REF!</definedName>
    <definedName name="_nu2" localSheetId="2">#REF!</definedName>
    <definedName name="_nu2">#REF!</definedName>
    <definedName name="_nu3" localSheetId="2">#REF!</definedName>
    <definedName name="_nu3">#REF!</definedName>
    <definedName name="_nu4" localSheetId="2">#REF!</definedName>
    <definedName name="_nu4">#REF!</definedName>
    <definedName name="_nu5" localSheetId="2">#REF!</definedName>
    <definedName name="_nu5">#REF!</definedName>
    <definedName name="_nu6" localSheetId="2">#REF!</definedName>
    <definedName name="_nu6">#REF!</definedName>
    <definedName name="_nu7" localSheetId="2">#REF!</definedName>
    <definedName name="_nu7">#REF!</definedName>
    <definedName name="_nu8" localSheetId="2">#REF!</definedName>
    <definedName name="_nu8">#REF!</definedName>
    <definedName name="_Order1" hidden="1">255</definedName>
    <definedName name="_RES96" localSheetId="2">#REF!</definedName>
    <definedName name="_RES96">#REF!</definedName>
    <definedName name="_SCH109" localSheetId="2">#REF!</definedName>
    <definedName name="_SCH109">#REF!</definedName>
    <definedName name="_sec2" localSheetId="2">#REF!</definedName>
    <definedName name="_sec2">#REF!</definedName>
    <definedName name="_sem1" localSheetId="2">#REF!</definedName>
    <definedName name="_sem1">#REF!</definedName>
    <definedName name="_sem2" localSheetId="2">#REF!</definedName>
    <definedName name="_sem2">#REF!</definedName>
    <definedName name="_Sort" localSheetId="2" hidden="1">#REF!</definedName>
    <definedName name="_Sort" hidden="1">#REF!</definedName>
    <definedName name="_td2" localSheetId="2">#REF!,#REF!,#REF!,#REF!</definedName>
    <definedName name="_td2">#REF!,#REF!,#REF!,#REF!</definedName>
    <definedName name="_tp2" localSheetId="2">#REF!,#REF!,#REF!,#REF!</definedName>
    <definedName name="_tp2">#REF!,#REF!,#REF!,#REF!</definedName>
    <definedName name="_un2" localSheetId="2">#REF!</definedName>
    <definedName name="_un2">#REF!</definedName>
    <definedName name="_VEC20" localSheetId="2">#REF!</definedName>
    <definedName name="_VEC20">#REF!</definedName>
    <definedName name="_wa1" localSheetId="2">#REF!,#REF!,#REF!,#REF!</definedName>
    <definedName name="_wa1">#REF!,#REF!,#REF!,#REF!</definedName>
    <definedName name="_wa2" localSheetId="2">#REF!,#REF!,#REF!,#REF!</definedName>
    <definedName name="_wa2">#REF!,#REF!,#REF!,#REF!</definedName>
    <definedName name="_wa3" localSheetId="2">#REF!</definedName>
    <definedName name="_wa3">#REF!</definedName>
    <definedName name="_wa4" localSheetId="2">#REF!,#REF!,#REF!,#REF!</definedName>
    <definedName name="_wa4">#REF!,#REF!,#REF!,#REF!</definedName>
    <definedName name="_wa5" localSheetId="2">#REF!,#REF!,#REF!,#REF!</definedName>
    <definedName name="_wa5">#REF!,#REF!,#REF!,#REF!</definedName>
    <definedName name="_woa1" localSheetId="2">#REF!</definedName>
    <definedName name="_woa1">#REF!</definedName>
    <definedName name="_woa2" localSheetId="2">#REF!,#REF!,#REF!,#REF!</definedName>
    <definedName name="_woa2">#REF!,#REF!,#REF!,#REF!</definedName>
    <definedName name="a1Área_de_impressão" localSheetId="2">#REF!</definedName>
    <definedName name="a1Área_de_impressão">#REF!</definedName>
    <definedName name="aaa" localSheetId="2">#REF!,#REF!,#REF!,#REF!</definedName>
    <definedName name="aaa">#REF!,#REF!,#REF!,#REF!</definedName>
    <definedName name="ACCSER" localSheetId="2">#REF!</definedName>
    <definedName name="ACCSER">#REF!</definedName>
    <definedName name="acdd" hidden="1">{"SCH27",#N/A,FALSE,"summary";"SCH39",#N/A,FALSE,"summary";"SCH41",#N/A,FALSE,"summary"}</definedName>
    <definedName name="AcrescCel_Anexo2" localSheetId="2">#REF!</definedName>
    <definedName name="AcrescCel_Anexo2">#REF!</definedName>
    <definedName name="ACT" localSheetId="2">#REF!</definedName>
    <definedName name="ACT">#REF!</definedName>
    <definedName name="ACTUALS">#N/A</definedName>
    <definedName name="Address_Ref" localSheetId="2">#REF!</definedName>
    <definedName name="Address_Ref">#REF!</definedName>
    <definedName name="adfjvhbqehrvbeh" hidden="1">{"SCH73",#N/A,FALSE,"eva";"SCH74",#N/A,FALSE,"eva";"SCH75",#N/A,FALSE,"eva"}</definedName>
    <definedName name="Administrativo_e_Financeiro" localSheetId="2">#REF!</definedName>
    <definedName name="Administrativo_e_Financeiro">#REF!</definedName>
    <definedName name="adriana" hidden="1">{"SCH47",#N/A,FALSE,"value";"sch48",#N/A,FALSE,"value"}</definedName>
    <definedName name="adto" localSheetId="2">#REF!</definedName>
    <definedName name="adto">#REF!</definedName>
    <definedName name="ahgvcbjknerv" localSheetId="2">#REF!</definedName>
    <definedName name="ahgvcbjknerv">#REF!</definedName>
    <definedName name="ai" localSheetId="2">#REF!</definedName>
    <definedName name="ai">#REF!</definedName>
    <definedName name="ALPHA" localSheetId="2">#REF!</definedName>
    <definedName name="ALPHA">#REF!</definedName>
    <definedName name="amarilio" hidden="1">{"SCH73",#N/A,FALSE,"eva";"SCH74",#N/A,FALSE,"eva";"SCH75",#N/A,FALSE,"eva"}</definedName>
    <definedName name="AMARRE" localSheetId="2">#REF!</definedName>
    <definedName name="AMARRE">#REF!</definedName>
    <definedName name="AMARRE_1" localSheetId="2">#REF!</definedName>
    <definedName name="AMARRE_1">#REF!</definedName>
    <definedName name="Amt_Orig" localSheetId="2">#REF!</definedName>
    <definedName name="Amt_Orig">#REF!</definedName>
    <definedName name="Amt_Rem" localSheetId="2">#REF!</definedName>
    <definedName name="Amt_Rem">#REF!</definedName>
    <definedName name="AREA" localSheetId="2">#REF!</definedName>
    <definedName name="AREA">#REF!</definedName>
    <definedName name="_xlnm.Print_Area" localSheetId="2">#REF!</definedName>
    <definedName name="_xlnm.Print_Area">#REF!</definedName>
    <definedName name="Área_impressão_IM" localSheetId="2">#REF!</definedName>
    <definedName name="Área_impressão_IM">#REF!</definedName>
    <definedName name="ARET" localSheetId="2">#REF!</definedName>
    <definedName name="ARET">#REF!</definedName>
    <definedName name="as" localSheetId="2">#REF!</definedName>
    <definedName name="as">#REF!</definedName>
    <definedName name="As_notas_explicativas_anexas_são_parte_integrante_destes_balanços." localSheetId="2">#REF!</definedName>
    <definedName name="As_notas_explicativas_anexas_são_parte_integrante_destes_balanços.">#REF!</definedName>
    <definedName name="ASDFGIWJGWRKLGMKRWMGMGB" hidden="1">{#N/A,#N/A,FALSE,"Skjema 6.5"}</definedName>
    <definedName name="asdkasfkacc" hidden="1">{"SCH73",#N/A,FALSE,"eva";"SCH74",#N/A,FALSE,"eva";"SCH75",#N/A,FALSE,"eva"}</definedName>
    <definedName name="asdssnajsvnqjevnqjlebvqreçgvj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kajsdjadwbefdwefvfd" hidden="1">{#N/A,#N/A,FALSE,"Skjema 6.5"}</definedName>
    <definedName name="ASSDFLÇKGNEQGEGEKGKGNEQ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xdx" hidden="1">{"SCH29",#N/A,FALSE,"segments";"SCH30",#N/A,FALSE,"segments"}</definedName>
    <definedName name="ATCONSO" localSheetId="2">#REF!</definedName>
    <definedName name="ATCONSO">#REF!</definedName>
    <definedName name="Atendimento_a_Clientes" localSheetId="2">#REF!</definedName>
    <definedName name="Atendimento_a_Clientes">#REF!</definedName>
    <definedName name="ATIMFL" localSheetId="2">#REF!</definedName>
    <definedName name="ATIMFL">#REF!</definedName>
    <definedName name="Ativo" localSheetId="2">#REF!</definedName>
    <definedName name="Ativo">#REF!</definedName>
    <definedName name="ATIVO_PASSIVO" localSheetId="2">#REF!</definedName>
    <definedName name="ATIVO_PASSIVO">#REF!</definedName>
    <definedName name="ATSGM" localSheetId="2">#REF!</definedName>
    <definedName name="ATSGM">#REF!</definedName>
    <definedName name="Aumento40" localSheetId="2">#REF!</definedName>
    <definedName name="Aumento40">#REF!</definedName>
    <definedName name="Aumento60" localSheetId="2">#REF!</definedName>
    <definedName name="Aumento60">#REF!</definedName>
    <definedName name="_xlnm.Database" localSheetId="2">#REF!</definedName>
    <definedName name="_xlnm.Database">#REF!</definedName>
    <definedName name="banco_marflex" localSheetId="2">#REF!</definedName>
    <definedName name="banco_marflex">#REF!</definedName>
    <definedName name="BASE_ICM" localSheetId="2">#REF!</definedName>
    <definedName name="BASE_ICM">#REF!</definedName>
    <definedName name="bpap" localSheetId="2">#REF!</definedName>
    <definedName name="bpap">#REF!</definedName>
    <definedName name="Branch" localSheetId="2">#REF!</definedName>
    <definedName name="Branch">#REF!</definedName>
    <definedName name="BUDGET">#N/A</definedName>
    <definedName name="C_FISCAL" localSheetId="2">#REF!</definedName>
    <definedName name="C_FISCAL">#REF!</definedName>
    <definedName name="cabeçalho" localSheetId="2">#REF!</definedName>
    <definedName name="cabeçalho">#REF!</definedName>
    <definedName name="cafsf" localSheetId="2">#REF!</definedName>
    <definedName name="cafsf">#REF!</definedName>
    <definedName name="CAP" localSheetId="2">#REF!</definedName>
    <definedName name="CAP">#REF!</definedName>
    <definedName name="Capex" localSheetId="2">#REF!</definedName>
    <definedName name="Capex">#REF!</definedName>
    <definedName name="casdncisdcjnweiciejicjewijcwejcewjcj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h_Flow" localSheetId="2">#REF!</definedName>
    <definedName name="Cash_Flow">#REF!</definedName>
    <definedName name="cc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CENTRO">"227000"</definedName>
    <definedName name="CFBY">#N/A</definedName>
    <definedName name="CFC" localSheetId="2">#REF!</definedName>
    <definedName name="CFC">#REF!</definedName>
    <definedName name="CFCY">#N/A</definedName>
    <definedName name="CHECK" localSheetId="2">#REF!</definedName>
    <definedName name="CHECK">#REF!</definedName>
    <definedName name="CHECK2" localSheetId="2">#REF!</definedName>
    <definedName name="CHECK2">#REF!</definedName>
    <definedName name="chiroy" localSheetId="2">#REF!,#REF!,#REF!,#REF!</definedName>
    <definedName name="chiroy">#REF!,#REF!,#REF!,#REF!</definedName>
    <definedName name="CIFRA" localSheetId="2">#REF!</definedName>
    <definedName name="CIFRA">#REF!</definedName>
    <definedName name="CIFSEC" localSheetId="2">#REF!</definedName>
    <definedName name="CIFSEC">#REF!</definedName>
    <definedName name="CLIENTE" localSheetId="2">#REF!</definedName>
    <definedName name="CLIENTE">#REF!</definedName>
    <definedName name="COD_CLI" localSheetId="2">#REF!</definedName>
    <definedName name="COD_CLI">#REF!</definedName>
    <definedName name="Collection" localSheetId="2">#REF!</definedName>
    <definedName name="Collection">#REF!</definedName>
    <definedName name="COMP" localSheetId="2">#REF!</definedName>
    <definedName name="COMP">#REF!</definedName>
    <definedName name="COMPET" localSheetId="2">#REF!</definedName>
    <definedName name="COMPET">#REF!</definedName>
    <definedName name="conc" localSheetId="2">#REF!</definedName>
    <definedName name="conc">#REF!</definedName>
    <definedName name="cONT" localSheetId="2">#REF!</definedName>
    <definedName name="cONT">#REF!</definedName>
    <definedName name="CONT02092000.4" hidden="1">{#N/A,#N/A,FALSE,"1321";#N/A,#N/A,FALSE,"1324";#N/A,#N/A,FALSE,"1333";#N/A,#N/A,FALSE,"1371"}</definedName>
    <definedName name="CONTAS">""</definedName>
    <definedName name="Conteudo" localSheetId="2">#REF!</definedName>
    <definedName name="Conteudo">#REF!</definedName>
    <definedName name="conteudoadto" localSheetId="2">#REF!</definedName>
    <definedName name="conteudoadto">#REF!</definedName>
    <definedName name="Conteudocx" localSheetId="2">#REF!</definedName>
    <definedName name="Conteudocx">#REF!</definedName>
    <definedName name="conteudocx1" localSheetId="2">#REF!</definedName>
    <definedName name="conteudocx1">#REF!</definedName>
    <definedName name="ConteudoFM" localSheetId="2">#REF!</definedName>
    <definedName name="ConteudoFM">#REF!</definedName>
    <definedName name="Control" localSheetId="2">#REF!</definedName>
    <definedName name="Control">#REF!</definedName>
    <definedName name="conversão" localSheetId="2">#REF!</definedName>
    <definedName name="conversão">#REF!</definedName>
    <definedName name="CONVERSÃO_DE_OLEO_P_GÁS___N.PROJETOS" localSheetId="2">#REF!</definedName>
    <definedName name="CONVERSÃO_DE_OLEO_P_GÁS___N.PROJETOS">#REF!</definedName>
    <definedName name="copy" localSheetId="2">#REF!</definedName>
    <definedName name="copy">#REF!</definedName>
    <definedName name="COR_MON_064" localSheetId="2">#REF!</definedName>
    <definedName name="COR_MON_064">#REF!</definedName>
    <definedName name="Corporativo" localSheetId="2">#REF!</definedName>
    <definedName name="Corporativo">#REF!</definedName>
    <definedName name="COSTOS" localSheetId="2">#REF!</definedName>
    <definedName name="COSTOS">#REF!</definedName>
    <definedName name="ctry" localSheetId="2">#REF!</definedName>
    <definedName name="ctry">#REF!</definedName>
    <definedName name="CUADRO_1" localSheetId="2">#REF!</definedName>
    <definedName name="CUADRO_1">#REF!</definedName>
    <definedName name="CUADRO_2" localSheetId="2">#REF!</definedName>
    <definedName name="CUADRO_2">#REF!</definedName>
    <definedName name="CUADRO_3" localSheetId="2">#REF!</definedName>
    <definedName name="CUADRO_3">#REF!</definedName>
    <definedName name="Cupom_periodo" localSheetId="2">#REF!</definedName>
    <definedName name="Cupom_periodo">#REF!</definedName>
    <definedName name="Customer_name" localSheetId="2">#REF!</definedName>
    <definedName name="Customer_name">#REF!</definedName>
    <definedName name="CVTS" localSheetId="2">#REF!</definedName>
    <definedName name="CVTS">#REF!</definedName>
    <definedName name="cwwqq" hidden="1">{"SCH47",#N/A,FALSE,"value";"sch48",#N/A,FALSE,"value"}</definedName>
    <definedName name="CXC" localSheetId="2">#REF!</definedName>
    <definedName name="CXC">#REF!</definedName>
    <definedName name="D500_60" localSheetId="2">#REF!</definedName>
    <definedName name="D500_60">#REF!</definedName>
    <definedName name="da" localSheetId="2">#REF!</definedName>
    <definedName name="da">#REF!</definedName>
    <definedName name="dafjnvqernviqrejviojqervojrvjrjv" hidden="1">{"SCH15",#N/A,FALSE,"SCH15,16,85,86";"SCH16",#N/A,FALSE,"SCH15,16,85,86";"SCH85",#N/A,FALSE,"SCH15,16,85,86";"SCH86",#N/A,FALSE,"SCH15,16,85,86"}</definedName>
    <definedName name="data_hoje" localSheetId="2">#REF!</definedName>
    <definedName name="data_hoje">#REF!</definedName>
    <definedName name="Data_inicial" localSheetId="2">#REF!</definedName>
    <definedName name="Data_inicial">#REF!</definedName>
    <definedName name="Days_O" localSheetId="2">#REF!</definedName>
    <definedName name="Days_O">#REF!</definedName>
    <definedName name="DBN_ESTUDOS_E_PROJETOS" localSheetId="2">#REF!</definedName>
    <definedName name="DBN_ESTUDOS_E_PROJETOS">#REF!</definedName>
    <definedName name="DBN_MAQ._EQUIP._NACIONAIS" localSheetId="2">#REF!</definedName>
    <definedName name="DBN_MAQ._EQUIP._NACIONAIS">#REF!</definedName>
    <definedName name="DBN_MAQ._EQUIPAMENTOS_IMPORTADOS" localSheetId="2">#REF!</definedName>
    <definedName name="DBN_MAQ._EQUIPAMENTOS_IMPORTADOS">#REF!</definedName>
    <definedName name="DBN_OBRAS_CIVIS_INSTALAÇÕES" localSheetId="2">#REF!</definedName>
    <definedName name="DBN_OBRAS_CIVIS_INSTALAÇÕES">#REF!</definedName>
    <definedName name="DC" localSheetId="2">#REF!</definedName>
    <definedName name="DC">#REF!</definedName>
    <definedName name="DEFINE_I_II_ESTUDOS_E_PROJETOS" localSheetId="2">#REF!</definedName>
    <definedName name="DEFINE_I_II_ESTUDOS_E_PROJETOS">#REF!</definedName>
    <definedName name="DEFINE_III___MAQ._EQUIPAMENTOS_NACIONAIS" localSheetId="2">#REF!</definedName>
    <definedName name="DEFINE_III___MAQ._EQUIPAMENTOS_NACIONAIS">#REF!</definedName>
    <definedName name="DESC" localSheetId="2">#REF!</definedName>
    <definedName name="DESC">#REF!</definedName>
    <definedName name="Deuda.xls" localSheetId="2">#REF!</definedName>
    <definedName name="Deuda.xls">#REF!</definedName>
    <definedName name="Diferido_amort" localSheetId="2">#REF!</definedName>
    <definedName name="Diferido_amort">#REF!</definedName>
    <definedName name="DIRECTO" localSheetId="2">#REF!</definedName>
    <definedName name="DIRECTO">#REF!</definedName>
    <definedName name="Diretoria" localSheetId="2">#REF!</definedName>
    <definedName name="Diretoria">#REF!</definedName>
    <definedName name="DRE" localSheetId="2">#REF!</definedName>
    <definedName name="DRE">#REF!</definedName>
    <definedName name="dsaf" hidden="1">{"SCH27",#N/A,FALSE,"summary";"SCH39",#N/A,FALSE,"summary";"SCH41",#N/A,FALSE,"summary"}</definedName>
    <definedName name="dsfas" localSheetId="2">#REF!</definedName>
    <definedName name="dsfas">#REF!</definedName>
    <definedName name="DU" localSheetId="2">#REF!</definedName>
    <definedName name="DU">#REF!</definedName>
    <definedName name="Due_Date" localSheetId="2">#REF!</definedName>
    <definedName name="Due_Date">#REF!</definedName>
    <definedName name="E.PDD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1.1.4" hidden="1">{"SCH73",#N/A,FALSE,"eva";"SCH74",#N/A,FALSE,"eva";"SCH75",#N/A,FALSE,"eva"}</definedName>
    <definedName name="ED" localSheetId="2">#REF!</definedName>
    <definedName name="ED">#REF!</definedName>
    <definedName name="EDS" localSheetId="2">#REF!</definedName>
    <definedName name="EDS">#REF!</definedName>
    <definedName name="ee" localSheetId="2">#REF!</definedName>
    <definedName name="ee">#REF!</definedName>
    <definedName name="efqvjnerjvn31nikj43f" hidden="1">{#N/A,#N/A,FALSE,"Skjema 6.5"}</definedName>
    <definedName name="ejkfbjr3gnferig34iogjop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MPDEST">"011"</definedName>
    <definedName name="EMPRESA">"011"</definedName>
    <definedName name="Enter_Number" localSheetId="2">#REF!</definedName>
    <definedName name="Enter_Number">#REF!</definedName>
    <definedName name="eprg2eorjg" localSheetId="2">#REF!</definedName>
    <definedName name="eprg2eorjg">#REF!</definedName>
    <definedName name="ER_1" localSheetId="2">#REF!</definedName>
    <definedName name="ER_1">#REF!</definedName>
    <definedName name="ER_2" localSheetId="2">#REF!</definedName>
    <definedName name="ER_2">#REF!</definedName>
    <definedName name="ESTADO" localSheetId="2">#REF!</definedName>
    <definedName name="ESTADO">#REF!</definedName>
    <definedName name="eu" localSheetId="2">#REF!</definedName>
    <definedName name="eu">#REF!</definedName>
    <definedName name="fechamento" localSheetId="2">#REF!</definedName>
    <definedName name="fechamento">#REF!</definedName>
    <definedName name="FF_PAGT" localSheetId="2">#REF!</definedName>
    <definedName name="FF_PAGT">#REF!</definedName>
    <definedName name="FF_VENDA" localSheetId="2">#REF!</definedName>
    <definedName name="FF_VENDA">#REF!</definedName>
    <definedName name="ffffffffffffffffffffffffffffffffffff" localSheetId="2">#REF!</definedName>
    <definedName name="ffffffffffffffffffffffffffffffffffff">#REF!</definedName>
    <definedName name="FIVEBYTHREE1" localSheetId="2">#REF!</definedName>
    <definedName name="FIVEBYTHREE1">#REF!</definedName>
    <definedName name="FLASH">#N/A</definedName>
    <definedName name="FOREIGNINTERCOMONTH" localSheetId="2">#REF!</definedName>
    <definedName name="FOREIGNINTERCOMONTH">#REF!</definedName>
    <definedName name="FOREIGNINTERCOYEAR" localSheetId="2">#REF!</definedName>
    <definedName name="FOREIGNINTERCOYEAR">#REF!</definedName>
    <definedName name="FORMA" localSheetId="2">#REF!</definedName>
    <definedName name="FORMA">#REF!</definedName>
    <definedName name="FORMULAS" localSheetId="2">#REF!</definedName>
    <definedName name="FORMULAS">#REF!</definedName>
    <definedName name="fsfs" localSheetId="2">#REF!</definedName>
    <definedName name="fsfs">#REF!</definedName>
    <definedName name="GASTOS_1" localSheetId="2">#REF!</definedName>
    <definedName name="GASTOS_1">#REF!</definedName>
    <definedName name="GENPLANINFO" localSheetId="2">#REF!</definedName>
    <definedName name="GENPLANINFO">#REF!</definedName>
    <definedName name="GERAL">#N/A</definedName>
    <definedName name="GOTS" localSheetId="2">#REF!</definedName>
    <definedName name="GOTS">#REF!</definedName>
    <definedName name="_xlnm.Recorder" localSheetId="2">#REF!</definedName>
    <definedName name="_xlnm.Recorder">#REF!</definedName>
    <definedName name="HTBAL" localSheetId="2">#REF!</definedName>
    <definedName name="HTBAL">#REF!</definedName>
    <definedName name="HTRES" localSheetId="2">#REF!</definedName>
    <definedName name="HTRES">#REF!</definedName>
    <definedName name="HTSEC" localSheetId="2">#REF!</definedName>
    <definedName name="HTSEC">#REF!</definedName>
    <definedName name="HTSECN" localSheetId="2">#REF!</definedName>
    <definedName name="HTSECN">#REF!</definedName>
    <definedName name="I_9" localSheetId="2">#REF!</definedName>
    <definedName name="I_9">#REF!</definedName>
    <definedName name="I_SEC" localSheetId="2">#REF!</definedName>
    <definedName name="I_SEC">#REF!</definedName>
    <definedName name="ICM" localSheetId="2">#REF!</definedName>
    <definedName name="ICM">#REF!</definedName>
    <definedName name="ICM_RETIDO" localSheetId="2">#REF!</definedName>
    <definedName name="ICM_RETIDO">#REF!</definedName>
    <definedName name="imp" localSheetId="2">#REF!</definedName>
    <definedName name="imp">#REF!</definedName>
    <definedName name="Impostos" localSheetId="2">#REF!</definedName>
    <definedName name="Impostos">#REF!</definedName>
    <definedName name="IndicadoresFinanceiros">#REF!</definedName>
    <definedName name="INDICE">"001"</definedName>
    <definedName name="INGR2" localSheetId="2">#REF!</definedName>
    <definedName name="INGR2">#REF!</definedName>
    <definedName name="INGRESOS" localSheetId="2">#REF!</definedName>
    <definedName name="INGRESOS">#REF!</definedName>
    <definedName name="INT" localSheetId="2">#REF!</definedName>
    <definedName name="INT">#REF!</definedName>
    <definedName name="INTDIP" localSheetId="2">#REF!</definedName>
    <definedName name="INTDIP">#REF!</definedName>
    <definedName name="INTER" localSheetId="2">#REF!</definedName>
    <definedName name="INTER">#REF!</definedName>
    <definedName name="Inv_date" localSheetId="2">#REF!</definedName>
    <definedName name="Inv_date">#REF!</definedName>
    <definedName name="Inv_No." localSheetId="2">#REF!</definedName>
    <definedName name="Inv_No.">#REF!</definedName>
    <definedName name="Investimentos" localSheetId="2">#REF!</definedName>
    <definedName name="Investimentos">#REF!</definedName>
    <definedName name="IQATUAL">#N/A</definedName>
    <definedName name="IQNOGO">FALSE</definedName>
    <definedName name="IQTRUE">TRUE</definedName>
    <definedName name="IRF" localSheetId="2">#REF!</definedName>
    <definedName name="IRF">#REF!</definedName>
    <definedName name="ISPRODLINE00" localSheetId="2">#REF!</definedName>
    <definedName name="ISPRODLINE00">#REF!</definedName>
    <definedName name="IUJHIUYH" localSheetId="2">#REF!</definedName>
    <definedName name="IUJHIUYH">#REF!</definedName>
    <definedName name="jkwefweuf14if43" hidden="1">{#N/A,#N/A,FALSE,"Skjema 6.5"}</definedName>
    <definedName name="joao" hidden="1">{"SCH49",#N/A,FALSE,"eva"}</definedName>
    <definedName name="jso" hidden="1">{"sch56",#N/A,FALSE,"savings";"sch64",#N/A,FALSE,"savings"}</definedName>
    <definedName name="JUAN" localSheetId="2">#REF!</definedName>
    <definedName name="JUAN">#REF!</definedName>
    <definedName name="L_CLIENTE" localSheetId="2">#REF!</definedName>
    <definedName name="L_CLIENTE">#REF!</definedName>
    <definedName name="L_NF" localSheetId="2">#REF!</definedName>
    <definedName name="L_NF">#REF!</definedName>
    <definedName name="L_UF" localSheetId="2">#REF!</definedName>
    <definedName name="L_UF">#REF!</definedName>
    <definedName name="LANCTOS">#N/A</definedName>
    <definedName name="ma" localSheetId="2">#REF!</definedName>
    <definedName name="ma">#REF!</definedName>
    <definedName name="Manut" localSheetId="2">#REF!</definedName>
    <definedName name="Manut">#REF!</definedName>
    <definedName name="Maria" hidden="1">{"SCH73",#N/A,FALSE,"eva";"SCH74",#N/A,FALSE,"eva";"SCH75",#N/A,FALSE,"eva"}</definedName>
    <definedName name="mariaa" hidden="1">{"SCH73",#N/A,FALSE,"eva";"SCH74",#N/A,FALSE,"eva";"SCH75",#N/A,FALSE,"eva"}</definedName>
    <definedName name="Marketing_e_Vendas" localSheetId="2">#REF!</definedName>
    <definedName name="Marketing_e_Vendas">#REF!</definedName>
    <definedName name="mary" localSheetId="2">#REF!</definedName>
    <definedName name="mary">#REF!</definedName>
    <definedName name="MATRIZ" localSheetId="2">#REF!</definedName>
    <definedName name="MATRIZ">#REF!</definedName>
    <definedName name="matriz2" localSheetId="2">#REF!</definedName>
    <definedName name="matriz2">#REF!</definedName>
    <definedName name="mbgs" localSheetId="2">#REF!</definedName>
    <definedName name="mbgs">#REF!</definedName>
    <definedName name="me" localSheetId="2">#REF!</definedName>
    <definedName name="me">#REF!</definedName>
    <definedName name="MENU" localSheetId="2">#REF!</definedName>
    <definedName name="MENU">#REF!</definedName>
    <definedName name="Mercado_Total_Município_Região_Metropolitana" localSheetId="2">#REF!</definedName>
    <definedName name="Mercado_Total_Município_Região_Metropolitana">#REF!</definedName>
    <definedName name="mês" localSheetId="2">#REF!</definedName>
    <definedName name="mês">#REF!</definedName>
    <definedName name="mi" localSheetId="2">#REF!</definedName>
    <definedName name="mi">#REF!</definedName>
    <definedName name="mo" localSheetId="2">#REF!</definedName>
    <definedName name="mo">#REF!</definedName>
    <definedName name="MONTH">#N/A</definedName>
    <definedName name="Município" localSheetId="2">#REF!</definedName>
    <definedName name="Município">#REF!</definedName>
    <definedName name="my" localSheetId="2">#REF!</definedName>
    <definedName name="my">#REF!</definedName>
    <definedName name="n" localSheetId="2">#REF!</definedName>
    <definedName name="n">#REF!</definedName>
    <definedName name="N.1.2" hidden="1">{"SCH73",#N/A,FALSE,"eva";"SCH74",#N/A,FALSE,"eva";"SCH75",#N/A,FALSE,"eva"}</definedName>
    <definedName name="N.1.3" hidden="1">{"SCH27",#N/A,FALSE,"summary";"SCH39",#N/A,FALSE,"summary";"SCH41",#N/A,FALSE,"summary"}</definedName>
    <definedName name="NOVA_INSTRUMENTAÇÃO" localSheetId="2">#REF!</definedName>
    <definedName name="NOVA_INSTRUMENTAÇÃO">#REF!</definedName>
    <definedName name="NOVA_INSTRUMENTAÇÃO_EQUIPAMENTO_NAC." localSheetId="2">#REF!</definedName>
    <definedName name="NOVA_INSTRUMENTAÇÃO_EQUIPAMENTO_NAC.">#REF!</definedName>
    <definedName name="nuevo" localSheetId="2">#REF!</definedName>
    <definedName name="nuevo">#REF!</definedName>
    <definedName name="NvsASD">"V2001-01-01"</definedName>
    <definedName name="NvsAutoDrillOk">"VY"</definedName>
    <definedName name="NvsElapsedTime">0.00130138888926012</definedName>
    <definedName name="NvsEndTime">36934.6460070602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"VGERAL"</definedName>
    <definedName name="NvsReqBU">"VA"</definedName>
    <definedName name="NvsReqBUOnly">"VY"</definedName>
    <definedName name="NvsTransLed">"VN"</definedName>
    <definedName name="NvsTreeASD">"V2001-01-01"</definedName>
    <definedName name="NvsValTbl.ACCOUNT">"GL_ACCOUNT_TBL"</definedName>
    <definedName name="NvsValTbl.DEPTID">"DEPARTMENT_TBL"</definedName>
    <definedName name="OCF" localSheetId="2">#REF!</definedName>
    <definedName name="OCF">#REF!</definedName>
    <definedName name="okjh" localSheetId="2">#REF!</definedName>
    <definedName name="okjh">#REF!</definedName>
    <definedName name="osma" localSheetId="2">#REF!,#REF!,#REF!,#REF!,#REF!</definedName>
    <definedName name="osma">#REF!,#REF!,#REF!,#REF!,#REF!</definedName>
    <definedName name="osma1" localSheetId="2">#REF!,#REF!,#REF!,#REF!</definedName>
    <definedName name="osma1">#REF!,#REF!,#REF!,#REF!</definedName>
    <definedName name="osma2" localSheetId="2">#REF!,#REF!,#REF!,#REF!</definedName>
    <definedName name="osma2">#REF!,#REF!,#REF!,#REF!</definedName>
    <definedName name="osma3" localSheetId="2">#REF!</definedName>
    <definedName name="osma3">#REF!</definedName>
    <definedName name="osma4" localSheetId="2">#REF!,#REF!,#REF!,#REF!</definedName>
    <definedName name="osma4">#REF!,#REF!,#REF!,#REF!</definedName>
    <definedName name="other" hidden="1">{"SCH15",#N/A,FALSE,"SCH15,16,85,86";"SCH16",#N/A,FALSE,"SCH15,16,85,86";"SCH85",#N/A,FALSE,"SCH15,16,85,86";"SCH86",#N/A,FALSE,"SCH15,16,85,86"}</definedName>
    <definedName name="OTROS" localSheetId="2">#REF!</definedName>
    <definedName name="OTROS">#REF!</definedName>
    <definedName name="otros2" localSheetId="2">#REF!</definedName>
    <definedName name="otros2">#REF!</definedName>
    <definedName name="P" localSheetId="2">#REF!</definedName>
    <definedName name="P">#REF!</definedName>
    <definedName name="P_CÁLCULO" localSheetId="2">#REF!</definedName>
    <definedName name="P_CÁLCULO">#REF!</definedName>
    <definedName name="PAS" localSheetId="2">#REF!</definedName>
    <definedName name="PAS">#REF!</definedName>
    <definedName name="PASCONSO" localSheetId="2">#REF!</definedName>
    <definedName name="PASCONSO">#REF!</definedName>
    <definedName name="PASMFL" localSheetId="2">#REF!</definedName>
    <definedName name="PASMFL">#REF!</definedName>
    <definedName name="PASSGM" localSheetId="2">#REF!</definedName>
    <definedName name="PASSGM">#REF!</definedName>
    <definedName name="Passivo" localSheetId="2">#REF!</definedName>
    <definedName name="Passivo">#REF!</definedName>
    <definedName name="paulo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eru1" localSheetId="2">#REF!</definedName>
    <definedName name="Peru1">#REF!</definedName>
    <definedName name="peru2" localSheetId="2">#REF!</definedName>
    <definedName name="peru2">#REF!</definedName>
    <definedName name="Peru3" localSheetId="2">#REF!</definedName>
    <definedName name="Peru3">#REF!</definedName>
    <definedName name="peru4" localSheetId="2">#REF!</definedName>
    <definedName name="peru4">#REF!</definedName>
    <definedName name="Peru5" localSheetId="2">#REF!</definedName>
    <definedName name="Peru5">#REF!</definedName>
    <definedName name="Peru6" localSheetId="2">#REF!</definedName>
    <definedName name="Peru6">#REF!</definedName>
    <definedName name="Peru7" localSheetId="2">#REF!</definedName>
    <definedName name="Peru7">#REF!</definedName>
    <definedName name="PeruD19" localSheetId="2">#REF!</definedName>
    <definedName name="PeruD19">#REF!</definedName>
    <definedName name="PLANO">""</definedName>
    <definedName name="PLCONSO" localSheetId="2">#REF!</definedName>
    <definedName name="PLCONSO">#REF!</definedName>
    <definedName name="PLMFL" localSheetId="2">#REF!</definedName>
    <definedName name="PLMFL">#REF!</definedName>
    <definedName name="PLSGM" localSheetId="2">#REF!</definedName>
    <definedName name="PLSGM">#REF!</definedName>
    <definedName name="PORRA" localSheetId="2">#REF!</definedName>
    <definedName name="PORRA">#REF!</definedName>
    <definedName name="price_list" localSheetId="2">#REF!</definedName>
    <definedName name="price_list">#REF!</definedName>
    <definedName name="Print_Area_MI" localSheetId="2">#REF!</definedName>
    <definedName name="Print_Area_MI">#REF!</definedName>
    <definedName name="printarea2" localSheetId="2">#REF!</definedName>
    <definedName name="printarea2">#REF!</definedName>
    <definedName name="printareami2" localSheetId="2">#REF!</definedName>
    <definedName name="printareami2">#REF!</definedName>
    <definedName name="Ptax_inicial" localSheetId="2">#REF!</definedName>
    <definedName name="Ptax_inicial">#REF!</definedName>
    <definedName name="qekhrgbrgr3ghj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erkfjeqbrgjbqergebrqglblqgb" hidden="1">{#N/A,#N/A,FALSE,"Skjema 6.5"}</definedName>
    <definedName name="qerknvqrv3rjgvo3jrvo3kjrv34gvp34o43k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wvnqwernfvirejf3j4fj34jfj4j3jo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jkevnjqenrvnervnqreijvjrjrjvrjvj" hidden="1">{"SCH51",#N/A,FALSE,"monthly"}</definedName>
    <definedName name="qwdlkwqjfheuirfbeuyrgvehrck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erjnfvi3jgfvij31gfvj3rf341poj3oopjk" hidden="1">{"SCH46",#N/A,FALSE,"sch46"}</definedName>
    <definedName name="qwfjqerf31f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R_Ocultar" localSheetId="2">#REF!</definedName>
    <definedName name="R_Ocultar">#REF!</definedName>
    <definedName name="real" localSheetId="2">#REF!</definedName>
    <definedName name="real">#REF!</definedName>
    <definedName name="Real1" localSheetId="2">#REF!</definedName>
    <definedName name="Real1">#REF!</definedName>
    <definedName name="RECAPITULACAO" localSheetId="2">#REF!</definedName>
    <definedName name="RECAPITULACAO">#REF!</definedName>
    <definedName name="RECAPITULACAO2" localSheetId="2">#REF!</definedName>
    <definedName name="RECAPITULACAO2">#REF!</definedName>
    <definedName name="Região_Metropolitana" localSheetId="2">#REF!</definedName>
    <definedName name="Região_Metropolitana">#REF!</definedName>
    <definedName name="relacao" localSheetId="2">#REF!</definedName>
    <definedName name="relacao">#REF!</definedName>
    <definedName name="RES" localSheetId="2">#REF!</definedName>
    <definedName name="RES">#REF!</definedName>
    <definedName name="RestiraCel_Anexo2" localSheetId="2">#REF!</definedName>
    <definedName name="RestiraCel_Anexo2">#REF!</definedName>
    <definedName name="Roberta" hidden="1">{"SCH44",#N/A,FALSE,"5b5f";"SCH45",#N/A,FALSE,"5b5f"}</definedName>
    <definedName name="roberto" hidden="1">{"SCH44",#N/A,FALSE,"5b5f";"SCH45",#N/A,FALSE,"5b5f"}</definedName>
    <definedName name="rodolfo" localSheetId="2">#REF!,#REF!,#REF!,#REF!</definedName>
    <definedName name="rodolfo">#REF!,#REF!,#REF!,#REF!</definedName>
    <definedName name="sadsadsdsad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sdcw" hidden="1">{"SCH54",#N/A,FALSE,"upside";"SCH55",#N/A,FALSE,"upside"}</definedName>
    <definedName name="sdfnvqervnernhivf" hidden="1">{#N/A,#N/A,FALSE,"Skjema 6.5"}</definedName>
    <definedName name="SEC" localSheetId="2">#REF!</definedName>
    <definedName name="SEC">#REF!</definedName>
    <definedName name="SECCYG" localSheetId="2">#REF!</definedName>
    <definedName name="SECCYG">#REF!</definedName>
    <definedName name="seccyg2" localSheetId="2">#REF!</definedName>
    <definedName name="seccyg2">#REF!</definedName>
    <definedName name="SECING" localSheetId="2">#REF!</definedName>
    <definedName name="SECING">#REF!</definedName>
    <definedName name="secing2" localSheetId="2">#REF!</definedName>
    <definedName name="secing2">#REF!</definedName>
    <definedName name="SECN" localSheetId="2">#REF!</definedName>
    <definedName name="SECN">#REF!</definedName>
    <definedName name="SERIE" localSheetId="2">#REF!</definedName>
    <definedName name="SERIE">#REF!</definedName>
    <definedName name="SLD.000.C.0.00.0000.00.00.11183030023">6473376.94000244</definedName>
    <definedName name="SLD.000.C.0.01.0000.00.00.11183030023">757839.43999958</definedName>
    <definedName name="Split40" localSheetId="2">#REF!</definedName>
    <definedName name="Split40">#REF!</definedName>
    <definedName name="Split50" localSheetId="2">#REF!</definedName>
    <definedName name="Split50">#REF!</definedName>
    <definedName name="Split60" localSheetId="2">#REF!</definedName>
    <definedName name="Split60">#REF!</definedName>
    <definedName name="sqsqsqs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ub_quimica" localSheetId="2">#REF!</definedName>
    <definedName name="Sub_quimica">#REF!</definedName>
    <definedName name="SUBCTA1">""</definedName>
    <definedName name="SUBCTA2">""</definedName>
    <definedName name="Subquimica" localSheetId="2">#REF!</definedName>
    <definedName name="Subquimica">#REF!</definedName>
    <definedName name="T_RETIDO" localSheetId="2">#REF!</definedName>
    <definedName name="T_RETIDO">#REF!</definedName>
    <definedName name="TAB" localSheetId="2">#REF!</definedName>
    <definedName name="TAB">#REF!</definedName>
    <definedName name="TAnterior" localSheetId="2">#REF!</definedName>
    <definedName name="TAnterior">#REF!</definedName>
    <definedName name="TAX" localSheetId="2">#REF!</definedName>
    <definedName name="TAX">#REF!</definedName>
    <definedName name="TECLAR_ALT_I" localSheetId="2">#REF!</definedName>
    <definedName name="TECLAR_ALT_I">#REF!</definedName>
    <definedName name="Tecnologia" localSheetId="2">#REF!</definedName>
    <definedName name="Tecnologia">#REF!</definedName>
    <definedName name="tel" localSheetId="2">#REF!</definedName>
    <definedName name="tel">#REF!</definedName>
    <definedName name="TEST" localSheetId="2">#REF!</definedName>
    <definedName name="TEST">#REF!</definedName>
    <definedName name="TEST0" localSheetId="2">#REF!</definedName>
    <definedName name="TEST0">#REF!</definedName>
    <definedName name="TEST2" localSheetId="2">#REF!</definedName>
    <definedName name="TEST2">#REF!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_xlnm.Print_Titles" localSheetId="2">#REF!</definedName>
    <definedName name="_xlnm.Print_Titles">#REF!</definedName>
    <definedName name="TODOFI" localSheetId="2">#REF!,#REF!,#REF!,#REF!</definedName>
    <definedName name="TODOFI">#REF!,#REF!,#REF!,#REF!</definedName>
    <definedName name="Total_Custos_Operacionais" localSheetId="2">#REF!</definedName>
    <definedName name="Total_Custos_Operacionais">#REF!</definedName>
    <definedName name="TRIAL10" hidden="1">{"SCH44",#N/A,FALSE,"5b5f";"SCH45",#N/A,FALSE,"5b5f"}</definedName>
    <definedName name="TRIAL11" hidden="1">{"sch56",#N/A,FALSE,"savings";"sch64",#N/A,FALSE,"savings"}</definedName>
    <definedName name="TRIAL1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3" hidden="1">{"SCH73",#N/A,FALSE,"eva";"SCH74",#N/A,FALSE,"eva";"SCH75",#N/A,FALSE,"eva"}</definedName>
    <definedName name="TRIAL14" hidden="1">{"SCH49",#N/A,FALSE,"eva"}</definedName>
    <definedName name="TRIAL1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6" hidden="1">{"SCH15",#N/A,FALSE,"SCH15,16,85,86";"SCH16",#N/A,FALSE,"SCH15,16,85,86";"SCH85",#N/A,FALSE,"SCH15,16,85,86";"SCH86",#N/A,FALSE,"SCH15,16,85,86"}</definedName>
    <definedName name="TRIAL17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8" hidden="1">{"SCH46",#N/A,FALSE,"sch46"}</definedName>
    <definedName name="TRIAL19" hidden="1">{"SCH51",#N/A,FALSE,"monthly"}</definedName>
    <definedName name="TRIAL20" hidden="1">{"SCH52",#N/A,FALSE,"sch52"}</definedName>
    <definedName name="TRIAL21" hidden="1">{"SCH29",#N/A,FALSE,"segments";"SCH30",#N/A,FALSE,"segments"}</definedName>
    <definedName name="TRIAL22" hidden="1">{"SCH27",#N/A,FALSE,"summary";"SCH39",#N/A,FALSE,"summary";"SCH41",#N/A,FALSE,"summary"}</definedName>
    <definedName name="TRIAL23" hidden="1">{"SCH54",#N/A,FALSE,"upside";"SCH55",#N/A,FALSE,"upside"}</definedName>
    <definedName name="TRIAL24" hidden="1">{"SCH47",#N/A,FALSE,"value";"sch48",#N/A,FALSE,"value"}</definedName>
    <definedName name="TRIAL2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30" hidden="1">{"SCH73",#N/A,FALSE,"eva";"SCH74",#N/A,FALSE,"eva";"SCH75",#N/A,FALSE,"eva"}</definedName>
    <definedName name="trial31" hidden="1">{"SCH44",#N/A,FALSE,"5b5f";"SCH45",#N/A,FALSE,"5b5f"}</definedName>
    <definedName name="trial32" hidden="1">{"SCH44",#N/A,FALSE,"5b5f";"SCH45",#N/A,FALSE,"5b5f"}</definedName>
    <definedName name="trial34" hidden="1">{"sch56",#N/A,FALSE,"savings";"sch64",#N/A,FALSE,"savings"}</definedName>
    <definedName name="trial3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6" hidden="1">{"SCH73",#N/A,FALSE,"eva";"SCH74",#N/A,FALSE,"eva";"SCH75",#N/A,FALSE,"eva"}</definedName>
    <definedName name="trial37" hidden="1">{"SCH49",#N/A,FALSE,"eva"}</definedName>
    <definedName name="trial38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9" hidden="1">{"SCH15",#N/A,FALSE,"SCH15,16,85,86";"SCH16",#N/A,FALSE,"SCH15,16,85,86";"SCH85",#N/A,FALSE,"SCH15,16,85,86";"SCH86",#N/A,FALSE,"SCH15,16,85,86"}</definedName>
    <definedName name="trial40" hidden="1">{"SCH15",#N/A,FALSE,"SCH15,16,85,86";"SCH16",#N/A,FALSE,"SCH15,16,85,86";"SCH85",#N/A,FALSE,"SCH15,16,85,86";"SCH86",#N/A,FALSE,"SCH15,16,85,86"}</definedName>
    <definedName name="trial41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2" hidden="1">{"SCH46",#N/A,FALSE,"sch46"}</definedName>
    <definedName name="trial43" hidden="1">{"SCH51",#N/A,FALSE,"monthly"}</definedName>
    <definedName name="trial44" hidden="1">{"SCH52",#N/A,FALSE,"sch52"}</definedName>
    <definedName name="trial45" hidden="1">{"SCH29",#N/A,FALSE,"segments";"SCH30",#N/A,FALSE,"segments"}</definedName>
    <definedName name="trial46" hidden="1">{"SCH27",#N/A,FALSE,"summary";"SCH39",#N/A,FALSE,"summary";"SCH41",#N/A,FALSE,"summary"}</definedName>
    <definedName name="trial47" hidden="1">{"SCH54",#N/A,FALSE,"upside";"SCH55",#N/A,FALSE,"upside"}</definedName>
    <definedName name="trial48" hidden="1">{"SCH47",#N/A,FALSE,"value";"sch48",#N/A,FALSE,"value"}</definedName>
    <definedName name="trial49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x_Type" localSheetId="2">#REF!</definedName>
    <definedName name="Trx_Type">#REF!</definedName>
    <definedName name="TTT" localSheetId="2">#REF!,#REF!,#REF!,#REF!</definedName>
    <definedName name="TTT">#REF!,#REF!,#REF!,#REF!</definedName>
    <definedName name="TUDO" localSheetId="2">#REF!</definedName>
    <definedName name="TUDO">#REF!</definedName>
    <definedName name="UF" localSheetId="2">#REF!</definedName>
    <definedName name="UF">#REF!</definedName>
    <definedName name="uhtr" hidden="1">{"SCH15",#N/A,FALSE,"SCH15,16,85,86";"SCH16",#N/A,FALSE,"SCH15,16,85,86";"SCH85",#N/A,FALSE,"SCH15,16,85,86";"SCH86",#N/A,FALSE,"SCH15,16,85,86"}</definedName>
    <definedName name="UltLin" localSheetId="2">#REF!</definedName>
    <definedName name="UltLin">#REF!</definedName>
    <definedName name="UN" localSheetId="2">#REF!</definedName>
    <definedName name="UN">#REF!</definedName>
    <definedName name="UOP___TECNOLOGIA" localSheetId="2">#REF!</definedName>
    <definedName name="UOP___TECNOLOGIA">#REF!</definedName>
    <definedName name="uuu" localSheetId="2">#REF!</definedName>
    <definedName name="uuu">#REF!</definedName>
    <definedName name="VALOR" localSheetId="2">#REF!</definedName>
    <definedName name="VALOR">#REF!</definedName>
    <definedName name="Valor_destacado_R" localSheetId="2">#REF!</definedName>
    <definedName name="Valor_destacado_R">#REF!</definedName>
    <definedName name="Valor_destacado_US" localSheetId="2">#REF!</definedName>
    <definedName name="Valor_destacado_US">#REF!</definedName>
    <definedName name="Vencimento" localSheetId="2">#REF!</definedName>
    <definedName name="Vencimento">#REF!</definedName>
    <definedName name="VENDAS" localSheetId="2">#REF!</definedName>
    <definedName name="VENDAS">#REF!</definedName>
    <definedName name="VENTES" localSheetId="2">#REF!</definedName>
    <definedName name="VENTES">#REF!</definedName>
    <definedName name="versao2" localSheetId="2">#REF!</definedName>
    <definedName name="versao2">#REF!</definedName>
    <definedName name="voucher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WAA" localSheetId="2">#REF!</definedName>
    <definedName name="WAA">#REF!</definedName>
    <definedName name="wac" localSheetId="2">#REF!</definedName>
    <definedName name="wac">#REF!</definedName>
    <definedName name="WACA" localSheetId="2">#REF!,#REF!,#REF!,#REF!</definedName>
    <definedName name="WACA">#REF!,#REF!,#REF!,#REF!</definedName>
    <definedName name="WAFITO" localSheetId="2">#REF!,#REF!,#REF!,#REF!</definedName>
    <definedName name="WAFITO">#REF!,#REF!,#REF!,#REF!</definedName>
    <definedName name="WAL" localSheetId="2">#REF!,#REF!,#REF!,#REF!</definedName>
    <definedName name="WAL">#REF!,#REF!,#REF!,#REF!</definedName>
    <definedName name="wam" localSheetId="2">#REF!,#REF!,#REF!,#REF!</definedName>
    <definedName name="wam">#REF!,#REF!,#REF!,#REF!</definedName>
    <definedName name="was" localSheetId="2">#REF!,#REF!,#REF!,#REF!</definedName>
    <definedName name="was">#REF!,#REF!,#REF!,#REF!</definedName>
    <definedName name="wasdfvklermvlmewrvlewrmlv" hidden="1">{"SCH73",#N/A,FALSE,"eva";"SCH74",#N/A,FALSE,"eva";"SCH75",#N/A,FALSE,"eva"}</definedName>
    <definedName name="wekjnvqenrviqejrgivj1341j3o4jfo34kje" hidden="1">{"SCH52",#N/A,FALSE,"sch52"}</definedName>
    <definedName name="welkfngvqekgq3jgq34jgj3o4pgj4pj" hidden="1">{"SCH49",#N/A,FALSE,"eva"}</definedName>
    <definedName name="wergwegr4g" localSheetId="2">#REF!</definedName>
    <definedName name="wergwegr4g">#REF!</definedName>
    <definedName name="Worksheet" localSheetId="2">#REF!</definedName>
    <definedName name="Worksheet">#REF!</definedName>
    <definedName name="wrn.01." hidden="1">{#N/A,#N/A,FALSE,"1321";#N/A,#N/A,FALSE,"1324";#N/A,#N/A,FALSE,"1333";#N/A,#N/A,FALSE,"1371"}</definedName>
    <definedName name="wrn.083.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5BY5." hidden="1">{"SCH44",#N/A,FALSE,"5b5f";"SCH45",#N/A,FALSE,"5b5f"}</definedName>
    <definedName name="wrn.ALL.FIN2." hidden="1">{"SCH35",#N/A,FALSE,"5X3";"SCH36",#N/A,FALSE,"5X3";"SCH37",#N/A,FALSE,"5X3";"SCH38",#N/A,FALSE,"5X3";"SCH39A",#N/A,FALSE,"5X3";"SCH39B",#N/A,FALSE,"5X3";"SCH40",#N/A,FALSE,"5X3"}</definedName>
    <definedName name="wrn.ALL_HR.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Plandol.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Clarobook.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OSTIMP." hidden="1">{"sch56",#N/A,FALSE,"savings";"sch64",#N/A,FALSE,"savings"}</definedName>
    <definedName name="wrn.Despesas._.Diferidas._.Indedutíveis._.de._.1998." hidden="1">{"Despesas Diferidas Indedutíveis de 1998",#N/A,FALSE,"Impressão"}</definedName>
    <definedName name="wrn.EBITRECS.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VA." hidden="1">{"SCH73",#N/A,FALSE,"eva";"SCH74",#N/A,FALSE,"eva";"SCH75",#N/A,FALSE,"eva"}</definedName>
    <definedName name="wrn.FULL_PACKAGE.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HRMONTH." hidden="1">{"SCH81",#N/A,FALSE,"SCH81";"SCH82",#N/A,FALSE,"SCH82"}</definedName>
    <definedName name="wrn.KEYFIN." hidden="1">{"SCH49",#N/A,FALSE,"eva"}</definedName>
    <definedName name="wrn.MONTHLY.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PRINT." hidden="1">{"SCH15",#N/A,FALSE,"SCH15,16,85,86";"SCH16",#N/A,FALSE,"SCH15,16,85,86";"SCH85",#N/A,FALSE,"SCH15,16,85,86";"SCH86",#N/A,FALSE,"SCH15,16,85,86"}</definedName>
    <definedName name="wrn.print1." hidden="1">{"SCH15",#N/A,FALSE,"SCH15,16,85,86";"SCH16",#N/A,FALSE,"SCH15,16,85,86";"SCH85",#N/A,FALSE,"SCH15,16,85,86";"SCH86",#N/A,FALSE,"SCH15,16,85,86"}</definedName>
    <definedName name="wrn.PRINTHR." hidden="1">{"SCH66",#N/A,FALSE,"SCH66";"SCH67",#N/A,FALSE,"SCH67";"SCH68",#N/A,FALSE,"SCH68";"SCH69",#N/A,FALSE,"SCH69";"SCH70",#N/A,FALSE,"SCH70"}</definedName>
    <definedName name="wrn.PRINTMKTG." hidden="1">{"sch6",#N/A,FALSE,"SCH6";"sch7",#N/A,FALSE,"SCH7"}</definedName>
    <definedName name="wrn.PRINTPROD.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OGRAMS." hidden="1">{"sch52",#N/A,FALSE,"SCH52"}</definedName>
    <definedName name="wrn.Relatório._.Completo.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para._.Auditoria.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SCH46." hidden="1">{"SCH46",#N/A,FALSE,"sch46"}</definedName>
    <definedName name="wrn.SCH51." hidden="1">{"SCH51",#N/A,FALSE,"monthly"}</definedName>
    <definedName name="wrn.SCH52." hidden="1">{"SCH52",#N/A,FALSE,"sch52"}</definedName>
    <definedName name="wrn.SCH57." hidden="1">{"SCH57",#N/A,FALSE,"monthly"}</definedName>
    <definedName name="wrn.SCH58." hidden="1">{"sch58",#N/A,FALSE,"SCH58"}</definedName>
    <definedName name="wrn.SEGMENT." hidden="1">{"SCH29",#N/A,FALSE,"segments";"SCH30",#N/A,FALSE,"segments"}</definedName>
    <definedName name="wrn.SUMMARY." hidden="1">{"SCH27",#N/A,FALSE,"summary";"SCH39",#N/A,FALSE,"summary";"SCH41",#N/A,FALSE,"summary"}</definedName>
    <definedName name="wrn.UPDOWN." hidden="1">{"SCH54",#N/A,FALSE,"upside";"SCH55",#N/A,FALSE,"upside"}</definedName>
    <definedName name="wrn.VALUE." hidden="1">{"SCH47",#N/A,FALSE,"value";"sch48",#N/A,FALSE,"value"}</definedName>
    <definedName name="wrn.YEARLY.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ww" localSheetId="2">#REF!</definedName>
    <definedName name="www">#REF!</definedName>
    <definedName name="x" localSheetId="2">#REF!</definedName>
    <definedName name="x">#REF!</definedName>
    <definedName name="xx" hidden="1">{#N/A,#N/A,FALSE,"Skjema 6.5"}</definedName>
    <definedName name="yan" localSheetId="2">#REF!</definedName>
    <definedName name="yan">#REF!</definedName>
    <definedName name="yr" localSheetId="2">#REF!</definedName>
    <definedName name="yr">#REF!</definedName>
    <definedName name="YRS" localSheetId="2">#REF!</definedName>
    <definedName name="YRS">#REF!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4" i="8" l="1"/>
  <c r="W84" i="8"/>
  <c r="V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V74" i="8" l="1"/>
  <c r="W74" i="8"/>
  <c r="X74" i="8"/>
  <c r="X99" i="8" l="1"/>
  <c r="W99" i="8"/>
  <c r="V99" i="8"/>
  <c r="X85" i="8"/>
  <c r="W85" i="8"/>
  <c r="V85" i="8"/>
  <c r="X82" i="8"/>
  <c r="W82" i="8"/>
  <c r="V82" i="8"/>
  <c r="X79" i="8"/>
  <c r="W79" i="8"/>
  <c r="V79" i="8"/>
  <c r="X70" i="8"/>
  <c r="W70" i="8"/>
  <c r="V70" i="8"/>
  <c r="X65" i="8"/>
  <c r="W65" i="8"/>
  <c r="V65" i="8"/>
  <c r="X62" i="8"/>
  <c r="W62" i="8"/>
  <c r="V62" i="8"/>
  <c r="X47" i="8"/>
  <c r="W47" i="8"/>
  <c r="V47" i="8"/>
  <c r="W43" i="8"/>
  <c r="V43" i="8"/>
  <c r="X43" i="8"/>
  <c r="X34" i="8"/>
  <c r="W34" i="8"/>
  <c r="V34" i="8"/>
  <c r="X25" i="8"/>
  <c r="W25" i="8"/>
  <c r="V25" i="8"/>
  <c r="X19" i="8"/>
  <c r="W19" i="8"/>
  <c r="V19" i="8"/>
  <c r="X16" i="8"/>
  <c r="W16" i="8"/>
  <c r="V16" i="8"/>
  <c r="X5" i="8"/>
  <c r="W5" i="8"/>
  <c r="V5" i="8"/>
  <c r="X101" i="8" l="1"/>
  <c r="X102" i="8"/>
  <c r="W102" i="8"/>
  <c r="V101" i="8"/>
  <c r="W101" i="8"/>
  <c r="X98" i="8"/>
  <c r="X32" i="8"/>
  <c r="X41" i="8" s="1"/>
  <c r="V32" i="8"/>
  <c r="V41" i="8" s="1"/>
  <c r="W32" i="8"/>
  <c r="W55" i="8" s="1"/>
  <c r="V98" i="8"/>
  <c r="W98" i="8"/>
  <c r="X55" i="8" l="1"/>
  <c r="V55" i="8"/>
  <c r="V95" i="8" s="1"/>
  <c r="W41" i="8"/>
  <c r="X95" i="8"/>
  <c r="X94" i="8"/>
  <c r="X58" i="8"/>
  <c r="W95" i="8"/>
  <c r="W94" i="8"/>
  <c r="W58" i="8"/>
  <c r="V58" i="8" l="1"/>
  <c r="V94" i="8"/>
  <c r="W75" i="8"/>
  <c r="W73" i="8" s="1"/>
  <c r="W59" i="8"/>
  <c r="W64" i="8"/>
  <c r="X59" i="8"/>
  <c r="X64" i="8"/>
  <c r="X75" i="8"/>
  <c r="X73" i="8" s="1"/>
  <c r="V75" i="8"/>
  <c r="V73" i="8" s="1"/>
  <c r="V59" i="8"/>
  <c r="V64" i="8"/>
  <c r="V69" i="8" l="1"/>
  <c r="V71" i="8" s="1"/>
  <c r="V78" i="8" s="1"/>
  <c r="V77" i="8" s="1"/>
  <c r="V67" i="8"/>
  <c r="V66" i="8"/>
  <c r="X67" i="8"/>
  <c r="X66" i="8"/>
  <c r="X69" i="8"/>
  <c r="X71" i="8" s="1"/>
  <c r="X78" i="8" s="1"/>
  <c r="X77" i="8" s="1"/>
  <c r="W67" i="8"/>
  <c r="W66" i="8"/>
  <c r="W69" i="8"/>
  <c r="W71" i="8" s="1"/>
  <c r="W78" i="8" s="1"/>
  <c r="W77" i="8" s="1"/>
  <c r="S89" i="8" l="1"/>
  <c r="S88" i="8"/>
  <c r="T88" i="8"/>
  <c r="U74" i="8" l="1"/>
  <c r="U79" i="8" s="1"/>
  <c r="T74" i="8"/>
  <c r="S74" i="8"/>
  <c r="S79" i="8" s="1"/>
  <c r="U47" i="8"/>
  <c r="T47" i="8"/>
  <c r="S47" i="8"/>
  <c r="U45" i="8"/>
  <c r="U43" i="8" s="1"/>
  <c r="U99" i="8"/>
  <c r="U85" i="8"/>
  <c r="U102" i="8" s="1"/>
  <c r="U82" i="8"/>
  <c r="U70" i="8"/>
  <c r="U65" i="8"/>
  <c r="U62" i="8"/>
  <c r="U34" i="8"/>
  <c r="U25" i="8"/>
  <c r="U19" i="8"/>
  <c r="U16" i="8"/>
  <c r="U5" i="8"/>
  <c r="T99" i="8"/>
  <c r="S99" i="8"/>
  <c r="T85" i="8"/>
  <c r="T102" i="8" s="1"/>
  <c r="S85" i="8"/>
  <c r="T82" i="8"/>
  <c r="S82" i="8"/>
  <c r="S101" i="8" s="1"/>
  <c r="T70" i="8"/>
  <c r="S70" i="8"/>
  <c r="T65" i="8"/>
  <c r="S65" i="8"/>
  <c r="T62" i="8"/>
  <c r="S62" i="8"/>
  <c r="T43" i="8"/>
  <c r="S43" i="8"/>
  <c r="T34" i="8"/>
  <c r="S34" i="8"/>
  <c r="T25" i="8"/>
  <c r="S25" i="8"/>
  <c r="T19" i="8"/>
  <c r="S19" i="8"/>
  <c r="T16" i="8"/>
  <c r="S16" i="8"/>
  <c r="T5" i="8"/>
  <c r="S5" i="8"/>
  <c r="T101" i="8" l="1"/>
  <c r="U101" i="8"/>
  <c r="S98" i="8"/>
  <c r="T98" i="8"/>
  <c r="T32" i="8"/>
  <c r="T41" i="8" s="1"/>
  <c r="U32" i="8"/>
  <c r="U55" i="8" s="1"/>
  <c r="S32" i="8"/>
  <c r="S55" i="8" s="1"/>
  <c r="U98" i="8"/>
  <c r="T79" i="8"/>
  <c r="T55" i="8" l="1"/>
  <c r="S41" i="8"/>
  <c r="U41" i="8"/>
  <c r="U95" i="8"/>
  <c r="U94" i="8"/>
  <c r="U58" i="8"/>
  <c r="T95" i="8"/>
  <c r="T58" i="8"/>
  <c r="T94" i="8"/>
  <c r="S94" i="8"/>
  <c r="S95" i="8"/>
  <c r="S58" i="8"/>
  <c r="U75" i="8" l="1"/>
  <c r="U73" i="8" s="1"/>
  <c r="U64" i="8"/>
  <c r="U59" i="8"/>
  <c r="T75" i="8"/>
  <c r="T73" i="8" s="1"/>
  <c r="T59" i="8"/>
  <c r="T64" i="8"/>
  <c r="S64" i="8"/>
  <c r="S59" i="8"/>
  <c r="S75" i="8"/>
  <c r="S73" i="8" s="1"/>
  <c r="U69" i="8" l="1"/>
  <c r="U71" i="8" s="1"/>
  <c r="U78" i="8" s="1"/>
  <c r="U77" i="8" s="1"/>
  <c r="U66" i="8"/>
  <c r="U67" i="8"/>
  <c r="S69" i="8"/>
  <c r="S71" i="8" s="1"/>
  <c r="S78" i="8" s="1"/>
  <c r="S77" i="8" s="1"/>
  <c r="S66" i="8"/>
  <c r="S67" i="8"/>
  <c r="T67" i="8"/>
  <c r="T66" i="8"/>
  <c r="T69" i="8"/>
  <c r="T71" i="8" s="1"/>
  <c r="T78" i="8" s="1"/>
  <c r="T77" i="8" s="1"/>
  <c r="R84" i="8" l="1"/>
  <c r="R89" i="8"/>
  <c r="Q45" i="8" l="1"/>
  <c r="O45" i="8"/>
  <c r="K45" i="8"/>
  <c r="J50" i="8"/>
  <c r="F50" i="8"/>
  <c r="D50" i="8"/>
  <c r="P88" i="8" l="1"/>
  <c r="O99" i="8"/>
  <c r="M74" i="8"/>
  <c r="R74" i="8"/>
  <c r="Q74" i="8"/>
  <c r="P74" i="8"/>
  <c r="O74" i="8"/>
  <c r="N74" i="8"/>
  <c r="M70" i="8" l="1"/>
  <c r="R99" i="8"/>
  <c r="Q99" i="8"/>
  <c r="P99" i="8"/>
  <c r="N99" i="8"/>
  <c r="R85" i="8"/>
  <c r="Q85" i="8"/>
  <c r="P85" i="8"/>
  <c r="O85" i="8"/>
  <c r="N85" i="8"/>
  <c r="R82" i="8"/>
  <c r="Q82" i="8"/>
  <c r="P82" i="8"/>
  <c r="P101" i="8" s="1"/>
  <c r="O82" i="8"/>
  <c r="O101" i="8" s="1"/>
  <c r="N82" i="8"/>
  <c r="N101" i="8" s="1"/>
  <c r="R79" i="8"/>
  <c r="P79" i="8"/>
  <c r="N79" i="8"/>
  <c r="R70" i="8"/>
  <c r="Q70" i="8"/>
  <c r="P70" i="8"/>
  <c r="O70" i="8"/>
  <c r="N70" i="8"/>
  <c r="R65" i="8"/>
  <c r="Q65" i="8"/>
  <c r="P65" i="8"/>
  <c r="O65" i="8"/>
  <c r="N65" i="8"/>
  <c r="R62" i="8"/>
  <c r="Q62" i="8"/>
  <c r="P62" i="8"/>
  <c r="O62" i="8"/>
  <c r="N62" i="8"/>
  <c r="R47" i="8"/>
  <c r="Q47" i="8"/>
  <c r="P47" i="8"/>
  <c r="O47" i="8"/>
  <c r="N47" i="8"/>
  <c r="R43" i="8"/>
  <c r="Q43" i="8"/>
  <c r="P43" i="8"/>
  <c r="O43" i="8"/>
  <c r="N43" i="8"/>
  <c r="R34" i="8"/>
  <c r="Q34" i="8"/>
  <c r="P34" i="8"/>
  <c r="O34" i="8"/>
  <c r="N34" i="8"/>
  <c r="R25" i="8"/>
  <c r="Q25" i="8"/>
  <c r="P25" i="8"/>
  <c r="O25" i="8"/>
  <c r="N25" i="8"/>
  <c r="R19" i="8"/>
  <c r="Q19" i="8"/>
  <c r="P19" i="8"/>
  <c r="O19" i="8"/>
  <c r="N19" i="8"/>
  <c r="R16" i="8"/>
  <c r="Q16" i="8"/>
  <c r="P16" i="8"/>
  <c r="O16" i="8"/>
  <c r="N16" i="8"/>
  <c r="R5" i="8"/>
  <c r="Q5" i="8"/>
  <c r="P5" i="8"/>
  <c r="O5" i="8"/>
  <c r="N5" i="8"/>
  <c r="M99" i="8"/>
  <c r="M85" i="8"/>
  <c r="M82" i="8"/>
  <c r="M101" i="8" s="1"/>
  <c r="M79" i="8"/>
  <c r="M65" i="8"/>
  <c r="M62" i="8"/>
  <c r="M47" i="8"/>
  <c r="M43" i="8"/>
  <c r="M34" i="8"/>
  <c r="M25" i="8"/>
  <c r="M19" i="8"/>
  <c r="M16" i="8"/>
  <c r="M5" i="8"/>
  <c r="R101" i="8" l="1"/>
  <c r="Q101" i="8"/>
  <c r="O98" i="8"/>
  <c r="M98" i="8"/>
  <c r="N98" i="8"/>
  <c r="R98" i="8"/>
  <c r="P32" i="8"/>
  <c r="P55" i="8" s="1"/>
  <c r="O32" i="8"/>
  <c r="O41" i="8" s="1"/>
  <c r="N32" i="8"/>
  <c r="N55" i="8" s="1"/>
  <c r="R32" i="8"/>
  <c r="R41" i="8" s="1"/>
  <c r="P98" i="8"/>
  <c r="Q32" i="8"/>
  <c r="Q55" i="8" s="1"/>
  <c r="Q98" i="8"/>
  <c r="O79" i="8"/>
  <c r="M32" i="8"/>
  <c r="M41" i="8" s="1"/>
  <c r="Q79" i="8"/>
  <c r="P41" i="8" l="1"/>
  <c r="R55" i="8"/>
  <c r="R95" i="8" s="1"/>
  <c r="N41" i="8"/>
  <c r="O55" i="8"/>
  <c r="O94" i="8" s="1"/>
  <c r="M55" i="8"/>
  <c r="M94" i="8" s="1"/>
  <c r="Q41" i="8"/>
  <c r="Q94" i="8"/>
  <c r="Q95" i="8"/>
  <c r="Q58" i="8"/>
  <c r="P94" i="8"/>
  <c r="P58" i="8"/>
  <c r="P95" i="8"/>
  <c r="N95" i="8"/>
  <c r="N58" i="8"/>
  <c r="N94" i="8"/>
  <c r="O58" i="8" l="1"/>
  <c r="O75" i="8" s="1"/>
  <c r="O73" i="8" s="1"/>
  <c r="R94" i="8"/>
  <c r="R58" i="8"/>
  <c r="R59" i="8" s="1"/>
  <c r="M95" i="8"/>
  <c r="M58" i="8"/>
  <c r="M75" i="8" s="1"/>
  <c r="M73" i="8" s="1"/>
  <c r="O95" i="8"/>
  <c r="P59" i="8"/>
  <c r="P64" i="8"/>
  <c r="P75" i="8"/>
  <c r="P73" i="8" s="1"/>
  <c r="N64" i="8"/>
  <c r="N75" i="8"/>
  <c r="N73" i="8" s="1"/>
  <c r="N59" i="8"/>
  <c r="Q64" i="8"/>
  <c r="Q75" i="8"/>
  <c r="Q73" i="8" s="1"/>
  <c r="Q59" i="8"/>
  <c r="R75" i="8" l="1"/>
  <c r="R73" i="8" s="1"/>
  <c r="O64" i="8"/>
  <c r="O69" i="8" s="1"/>
  <c r="O71" i="8" s="1"/>
  <c r="O78" i="8" s="1"/>
  <c r="O77" i="8" s="1"/>
  <c r="M64" i="8"/>
  <c r="R64" i="8"/>
  <c r="R69" i="8" s="1"/>
  <c r="R71" i="8" s="1"/>
  <c r="R78" i="8" s="1"/>
  <c r="R77" i="8" s="1"/>
  <c r="O59" i="8"/>
  <c r="M59" i="8"/>
  <c r="R67" i="8"/>
  <c r="P66" i="8"/>
  <c r="P67" i="8"/>
  <c r="P69" i="8"/>
  <c r="P71" i="8" s="1"/>
  <c r="P78" i="8" s="1"/>
  <c r="P77" i="8" s="1"/>
  <c r="Q67" i="8"/>
  <c r="Q69" i="8"/>
  <c r="Q71" i="8" s="1"/>
  <c r="Q78" i="8" s="1"/>
  <c r="Q77" i="8" s="1"/>
  <c r="Q66" i="8"/>
  <c r="N69" i="8"/>
  <c r="N71" i="8" s="1"/>
  <c r="N78" i="8" s="1"/>
  <c r="N77" i="8" s="1"/>
  <c r="N66" i="8"/>
  <c r="N67" i="8"/>
  <c r="O66" i="8" l="1"/>
  <c r="R66" i="8"/>
  <c r="M69" i="8"/>
  <c r="M67" i="8"/>
  <c r="M66" i="8"/>
  <c r="O67" i="8"/>
  <c r="M71" i="8" l="1"/>
  <c r="M78" i="8" s="1"/>
  <c r="M77" i="8" s="1"/>
  <c r="K88" i="8"/>
  <c r="J88" i="8"/>
  <c r="L74" i="8"/>
  <c r="K74" i="8"/>
  <c r="J74" i="8"/>
  <c r="L99" i="8" l="1"/>
  <c r="K99" i="8"/>
  <c r="J99" i="8"/>
  <c r="L85" i="8"/>
  <c r="K85" i="8"/>
  <c r="J85" i="8"/>
  <c r="L82" i="8"/>
  <c r="L101" i="8" s="1"/>
  <c r="K82" i="8"/>
  <c r="K101" i="8" s="1"/>
  <c r="J82" i="8"/>
  <c r="L79" i="8"/>
  <c r="K79" i="8"/>
  <c r="J79" i="8"/>
  <c r="L70" i="8"/>
  <c r="K70" i="8"/>
  <c r="J70" i="8"/>
  <c r="L65" i="8"/>
  <c r="K65" i="8"/>
  <c r="J65" i="8"/>
  <c r="L62" i="8"/>
  <c r="K62" i="8"/>
  <c r="J62" i="8"/>
  <c r="L47" i="8"/>
  <c r="K47" i="8"/>
  <c r="J47" i="8"/>
  <c r="L43" i="8"/>
  <c r="K43" i="8"/>
  <c r="J43" i="8"/>
  <c r="L34" i="8"/>
  <c r="K34" i="8"/>
  <c r="J34" i="8"/>
  <c r="L25" i="8"/>
  <c r="K25" i="8"/>
  <c r="J25" i="8"/>
  <c r="L19" i="8"/>
  <c r="K19" i="8"/>
  <c r="J19" i="8"/>
  <c r="L16" i="8"/>
  <c r="K16" i="8"/>
  <c r="J16" i="8"/>
  <c r="L5" i="8"/>
  <c r="K5" i="8"/>
  <c r="J5" i="8"/>
  <c r="J101" i="8" l="1"/>
  <c r="K98" i="8"/>
  <c r="L98" i="8"/>
  <c r="J98" i="8"/>
  <c r="K32" i="8"/>
  <c r="K55" i="8" s="1"/>
  <c r="J32" i="8"/>
  <c r="J55" i="8" s="1"/>
  <c r="L32" i="8"/>
  <c r="L41" i="8" s="1"/>
  <c r="I82" i="8"/>
  <c r="I101" i="8" s="1"/>
  <c r="I85" i="8"/>
  <c r="I74" i="8"/>
  <c r="I79" i="8" s="1"/>
  <c r="L55" i="8" l="1"/>
  <c r="L94" i="8" s="1"/>
  <c r="J41" i="8"/>
  <c r="K41" i="8"/>
  <c r="L58" i="8"/>
  <c r="L95" i="8"/>
  <c r="K95" i="8"/>
  <c r="K58" i="8"/>
  <c r="K94" i="8"/>
  <c r="J58" i="8"/>
  <c r="J94" i="8"/>
  <c r="J95" i="8"/>
  <c r="I99" i="8"/>
  <c r="I98" i="8"/>
  <c r="I70" i="8"/>
  <c r="I65" i="8"/>
  <c r="I62" i="8"/>
  <c r="I47" i="8"/>
  <c r="I43" i="8"/>
  <c r="I34" i="8"/>
  <c r="I25" i="8"/>
  <c r="I19" i="8"/>
  <c r="I16" i="8"/>
  <c r="I5" i="8"/>
  <c r="L75" i="8" l="1"/>
  <c r="L73" i="8" s="1"/>
  <c r="L59" i="8"/>
  <c r="L64" i="8"/>
  <c r="I32" i="8"/>
  <c r="I55" i="8" s="1"/>
  <c r="I94" i="8" s="1"/>
  <c r="K59" i="8"/>
  <c r="K64" i="8"/>
  <c r="K67" i="8" s="1"/>
  <c r="K75" i="8"/>
  <c r="K73" i="8" s="1"/>
  <c r="J75" i="8"/>
  <c r="J73" i="8" s="1"/>
  <c r="J64" i="8"/>
  <c r="J59" i="8"/>
  <c r="H85" i="8"/>
  <c r="H82" i="8"/>
  <c r="H101" i="8" s="1"/>
  <c r="H74" i="8"/>
  <c r="H79" i="8" s="1"/>
  <c r="I58" i="8" l="1"/>
  <c r="I75" i="8" s="1"/>
  <c r="I73" i="8" s="1"/>
  <c r="I95" i="8"/>
  <c r="I41" i="8"/>
  <c r="K66" i="8"/>
  <c r="K69" i="8"/>
  <c r="K71" i="8" s="1"/>
  <c r="K78" i="8" s="1"/>
  <c r="K77" i="8" s="1"/>
  <c r="J69" i="8"/>
  <c r="J71" i="8" s="1"/>
  <c r="J78" i="8" s="1"/>
  <c r="J77" i="8" s="1"/>
  <c r="J67" i="8"/>
  <c r="J66" i="8"/>
  <c r="L67" i="8"/>
  <c r="L66" i="8"/>
  <c r="L69" i="8"/>
  <c r="L71" i="8" s="1"/>
  <c r="L78" i="8" s="1"/>
  <c r="L77" i="8" s="1"/>
  <c r="H99" i="8"/>
  <c r="H98" i="8"/>
  <c r="H70" i="8"/>
  <c r="H65" i="8"/>
  <c r="H62" i="8"/>
  <c r="H47" i="8"/>
  <c r="H43" i="8"/>
  <c r="H34" i="8"/>
  <c r="H25" i="8"/>
  <c r="H19" i="8"/>
  <c r="H16" i="8"/>
  <c r="H5" i="8"/>
  <c r="I64" i="8" l="1"/>
  <c r="I66" i="8" s="1"/>
  <c r="I59" i="8"/>
  <c r="I69" i="8"/>
  <c r="I71" i="8" s="1"/>
  <c r="I78" i="8" s="1"/>
  <c r="I77" i="8" s="1"/>
  <c r="I67" i="8"/>
  <c r="H32" i="8"/>
  <c r="H55" i="8" s="1"/>
  <c r="H41" i="8"/>
  <c r="C34" i="8"/>
  <c r="D34" i="8"/>
  <c r="E34" i="8"/>
  <c r="F34" i="8"/>
  <c r="G34" i="8"/>
  <c r="G99" i="8"/>
  <c r="F99" i="8"/>
  <c r="E99" i="8"/>
  <c r="D99" i="8"/>
  <c r="C99" i="8"/>
  <c r="G85" i="8"/>
  <c r="F85" i="8"/>
  <c r="E85" i="8"/>
  <c r="D85" i="8"/>
  <c r="C85" i="8"/>
  <c r="G82" i="8"/>
  <c r="G101" i="8" s="1"/>
  <c r="F82" i="8"/>
  <c r="F101" i="8" s="1"/>
  <c r="E82" i="8"/>
  <c r="E101" i="8" s="1"/>
  <c r="D82" i="8"/>
  <c r="C82" i="8"/>
  <c r="G74" i="8"/>
  <c r="G79" i="8" s="1"/>
  <c r="F74" i="8"/>
  <c r="E74" i="8"/>
  <c r="E79" i="8" s="1"/>
  <c r="D74" i="8"/>
  <c r="D79" i="8" s="1"/>
  <c r="C74" i="8"/>
  <c r="C79" i="8" s="1"/>
  <c r="G70" i="8"/>
  <c r="F70" i="8"/>
  <c r="E70" i="8"/>
  <c r="D70" i="8"/>
  <c r="C70" i="8"/>
  <c r="G65" i="8"/>
  <c r="F65" i="8"/>
  <c r="E65" i="8"/>
  <c r="D65" i="8"/>
  <c r="C65" i="8"/>
  <c r="G62" i="8"/>
  <c r="F62" i="8"/>
  <c r="E62" i="8"/>
  <c r="D62" i="8"/>
  <c r="C62" i="8"/>
  <c r="G47" i="8"/>
  <c r="F47" i="8"/>
  <c r="E47" i="8"/>
  <c r="D47" i="8"/>
  <c r="C47" i="8"/>
  <c r="G43" i="8"/>
  <c r="F43" i="8"/>
  <c r="E43" i="8"/>
  <c r="D43" i="8"/>
  <c r="C43" i="8"/>
  <c r="G25" i="8"/>
  <c r="F25" i="8"/>
  <c r="E25" i="8"/>
  <c r="D25" i="8"/>
  <c r="C25" i="8"/>
  <c r="G19" i="8"/>
  <c r="F19" i="8"/>
  <c r="E19" i="8"/>
  <c r="D19" i="8"/>
  <c r="C19" i="8"/>
  <c r="G16" i="8"/>
  <c r="F16" i="8"/>
  <c r="E16" i="8"/>
  <c r="D16" i="8"/>
  <c r="C16" i="8"/>
  <c r="G5" i="8"/>
  <c r="F5" i="8"/>
  <c r="E5" i="8"/>
  <c r="D5" i="8"/>
  <c r="C5" i="8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C101" i="8" l="1"/>
  <c r="D101" i="8"/>
  <c r="C98" i="8"/>
  <c r="G98" i="8"/>
  <c r="H95" i="8"/>
  <c r="H94" i="8"/>
  <c r="H58" i="8"/>
  <c r="E98" i="8"/>
  <c r="F98" i="8"/>
  <c r="D98" i="8"/>
  <c r="G32" i="8"/>
  <c r="G41" i="8" s="1"/>
  <c r="C32" i="8"/>
  <c r="C41" i="8" s="1"/>
  <c r="F32" i="8"/>
  <c r="F41" i="8" s="1"/>
  <c r="D32" i="8"/>
  <c r="D55" i="8" s="1"/>
  <c r="E32" i="8"/>
  <c r="E41" i="8" s="1"/>
  <c r="F79" i="8"/>
  <c r="C55" i="8" l="1"/>
  <c r="C95" i="8" s="1"/>
  <c r="H75" i="8"/>
  <c r="H73" i="8" s="1"/>
  <c r="H64" i="8"/>
  <c r="H59" i="8"/>
  <c r="E55" i="8"/>
  <c r="E95" i="8" s="1"/>
  <c r="G55" i="8"/>
  <c r="G94" i="8" s="1"/>
  <c r="F55" i="8"/>
  <c r="F58" i="8" s="1"/>
  <c r="D41" i="8"/>
  <c r="C58" i="8"/>
  <c r="D58" i="8"/>
  <c r="D95" i="8"/>
  <c r="D94" i="8"/>
  <c r="C94" i="8" l="1"/>
  <c r="H69" i="8"/>
  <c r="H71" i="8" s="1"/>
  <c r="H78" i="8" s="1"/>
  <c r="H77" i="8" s="1"/>
  <c r="H67" i="8"/>
  <c r="H66" i="8"/>
  <c r="G95" i="8"/>
  <c r="G58" i="8"/>
  <c r="G59" i="8" s="1"/>
  <c r="E94" i="8"/>
  <c r="E58" i="8"/>
  <c r="E75" i="8" s="1"/>
  <c r="E73" i="8" s="1"/>
  <c r="F95" i="8"/>
  <c r="F94" i="8"/>
  <c r="D75" i="8"/>
  <c r="D73" i="8" s="1"/>
  <c r="D64" i="8"/>
  <c r="D59" i="8"/>
  <c r="F75" i="8"/>
  <c r="F73" i="8" s="1"/>
  <c r="F64" i="8"/>
  <c r="F59" i="8"/>
  <c r="C59" i="8"/>
  <c r="C64" i="8"/>
  <c r="C75" i="8"/>
  <c r="C73" i="8" s="1"/>
  <c r="E59" i="8" l="1"/>
  <c r="G75" i="8"/>
  <c r="G73" i="8" s="1"/>
  <c r="G64" i="8"/>
  <c r="G66" i="8" s="1"/>
  <c r="E64" i="8"/>
  <c r="E66" i="8" s="1"/>
  <c r="D66" i="8"/>
  <c r="D69" i="8"/>
  <c r="D71" i="8" s="1"/>
  <c r="D78" i="8" s="1"/>
  <c r="D77" i="8" s="1"/>
  <c r="D67" i="8"/>
  <c r="F67" i="8"/>
  <c r="F66" i="8"/>
  <c r="F69" i="8"/>
  <c r="F71" i="8" s="1"/>
  <c r="F78" i="8" s="1"/>
  <c r="F77" i="8" s="1"/>
  <c r="C66" i="8"/>
  <c r="C69" i="8"/>
  <c r="C71" i="8" s="1"/>
  <c r="C78" i="8" s="1"/>
  <c r="C77" i="8" s="1"/>
  <c r="C67" i="8"/>
  <c r="E69" i="8" l="1"/>
  <c r="E71" i="8" s="1"/>
  <c r="E78" i="8" s="1"/>
  <c r="E77" i="8" s="1"/>
  <c r="E67" i="8"/>
  <c r="G67" i="8"/>
  <c r="G69" i="8"/>
  <c r="G71" i="8" s="1"/>
  <c r="G78" i="8" s="1"/>
  <c r="G77" i="8" s="1"/>
  <c r="C1" i="8" l="1"/>
  <c r="C1" i="6" l="1"/>
</calcChain>
</file>

<file path=xl/sharedStrings.xml><?xml version="1.0" encoding="utf-8"?>
<sst xmlns="http://schemas.openxmlformats.org/spreadsheetml/2006/main" count="332" uniqueCount="189">
  <si>
    <t>Classificação ANBIMA</t>
  </si>
  <si>
    <t>Custodiante</t>
  </si>
  <si>
    <t>Administrador</t>
  </si>
  <si>
    <t>Objetivo</t>
  </si>
  <si>
    <t>Gestor</t>
  </si>
  <si>
    <t>Escriturador</t>
  </si>
  <si>
    <t>Auditor Independente</t>
  </si>
  <si>
    <t>Taxa de Administração</t>
  </si>
  <si>
    <t>0,75% a.a.</t>
  </si>
  <si>
    <t>0,95% a.a.</t>
  </si>
  <si>
    <t>0,85% a.a.</t>
  </si>
  <si>
    <t>Taxa de Performance</t>
  </si>
  <si>
    <t>20% da rentabilidade, já deduzidas todas as taxas e despesas pagas pelo Fundo, que exceder a variação acumulada do IPCA acrescido de 6% ao ano.</t>
  </si>
  <si>
    <t>Mensal, sendo que será distribuído no mínimo 95% do lucro auferido pelo Fundo semestralmente em regime de caixa.</t>
  </si>
  <si>
    <t>Negociação</t>
  </si>
  <si>
    <t>Ernst Young Auditores Independentes S/S</t>
  </si>
  <si>
    <t>Valor de Mercado do Fundo</t>
  </si>
  <si>
    <t>Até R$500M</t>
  </si>
  <si>
    <t>De R$500M até R$1bi</t>
  </si>
  <si>
    <t>Acima de R$1bi</t>
  </si>
  <si>
    <t>Distribuição de Rendimentos</t>
  </si>
  <si>
    <t>Estado</t>
  </si>
  <si>
    <t>SP</t>
  </si>
  <si>
    <t>Investimento imobiliário em galpões logísticos objetivando obtenção de renda por meio de locação dos ativos e lucros imobiliários mediante reciclagem de portfólio.</t>
  </si>
  <si>
    <t>FII Renda/Gestão Ativa/Logístico</t>
  </si>
  <si>
    <t>Vórtx Distribuidora de Títulos e Valores Mobiliários Ltda.</t>
  </si>
  <si>
    <t>Oliveira Trust Distribuidora de Títulos e Valores Mobiliários S.A.</t>
  </si>
  <si>
    <t>Valor mínimo mensal: R$ 25.000,00, atualizado anualmente segundo a variação do IPCA</t>
  </si>
  <si>
    <t>As cotas são negociadas na B3 sob o código XPLG11.</t>
  </si>
  <si>
    <t>Demonstrativo do Resultado do Exercício (Base Caixa)</t>
  </si>
  <si>
    <t>Receitas propriedades para investimentos</t>
  </si>
  <si>
    <t>(-) Provisão para crédito de liquidação duvidosa</t>
  </si>
  <si>
    <t>Reversão provisão para crédito de liquidação duvidosa</t>
  </si>
  <si>
    <t>Receitas de  multas e juros recebidos</t>
  </si>
  <si>
    <t>Receitas de vendas de propriedade para investimento</t>
  </si>
  <si>
    <t>Receita com multa rescisória</t>
  </si>
  <si>
    <t>Receita com estacionamento</t>
  </si>
  <si>
    <t>(-) Despesas com tributos municipais, estaduais e federais</t>
  </si>
  <si>
    <t>Outras Receitas</t>
  </si>
  <si>
    <t>Custo propriedades para investimento</t>
  </si>
  <si>
    <t>Custo de  propriedades para investimentos vendidas</t>
  </si>
  <si>
    <t>Despesa juros e atualização monetária de Captação e aquisição de imóveis</t>
  </si>
  <si>
    <t>Despesas de juros com obrigações por compra de imóveis</t>
  </si>
  <si>
    <t>Despesas de atualização monetária com obrigações por compra de imóveis</t>
  </si>
  <si>
    <t>Despesas de juros com captação de recursos</t>
  </si>
  <si>
    <t>Despesas de atualização monetária com captação de recursos</t>
  </si>
  <si>
    <t>Despesa administrativa dos imóveis</t>
  </si>
  <si>
    <t>Despesas de comissões</t>
  </si>
  <si>
    <t>Despesa administração do imóvel</t>
  </si>
  <si>
    <t>Despesas de condomínio</t>
  </si>
  <si>
    <t>Despesa de reparos, manutenção e conservação de imóveis</t>
  </si>
  <si>
    <t>Outras despesas de propriedade</t>
  </si>
  <si>
    <t>Resultado de propriedade de investimentos</t>
  </si>
  <si>
    <t>Resultado de Ativos Financeiros de Natureza Imobiliária</t>
  </si>
  <si>
    <t>Certificados de recebivéis imobiliários (CRI)</t>
  </si>
  <si>
    <t xml:space="preserve"> Letras de crédito imobiliário </t>
  </si>
  <si>
    <t>Ajuste ao valor justo (CRI)</t>
  </si>
  <si>
    <t>Ajuste ao valor justo (cotas de fundos imobiliários)</t>
  </si>
  <si>
    <t>Resultado líquido de atividades imobiliárias</t>
  </si>
  <si>
    <t>Outros Ativos Financeiros</t>
  </si>
  <si>
    <t>Receita com títulos públicos (líquida de impostos)</t>
  </si>
  <si>
    <t>Receitas com cotas de fundo de renda fixa (líquida de impostos)</t>
  </si>
  <si>
    <t>Receitas (despesas) operacionais</t>
  </si>
  <si>
    <t>Despesas de Gestão</t>
  </si>
  <si>
    <t>Taxa de administração - Fundo</t>
  </si>
  <si>
    <t>Outras despesas operacionais</t>
  </si>
  <si>
    <t>Lucro líquido do período</t>
  </si>
  <si>
    <t>Ajuste na distribuição</t>
  </si>
  <si>
    <t>Lucro líquido ajustado do período</t>
  </si>
  <si>
    <t>Resultado  por cota</t>
  </si>
  <si>
    <t>Quantidade de cotas</t>
  </si>
  <si>
    <t>Distribuição/Cota</t>
  </si>
  <si>
    <t>Distribuição Total</t>
  </si>
  <si>
    <t>FFO - Funds From Operation</t>
  </si>
  <si>
    <t>Outros Ajustes</t>
  </si>
  <si>
    <t>%FFO</t>
  </si>
  <si>
    <t>FFO (R$/Cota)</t>
  </si>
  <si>
    <t>FFO Ajustado *</t>
  </si>
  <si>
    <t>Despesas financeiras não-caixa</t>
  </si>
  <si>
    <t>FFO Ajustado * / Cota</t>
  </si>
  <si>
    <t>Preço / Lucro (P/E)</t>
  </si>
  <si>
    <t>Valor de Mercado</t>
  </si>
  <si>
    <t>Lucro</t>
  </si>
  <si>
    <t>Rentabilidade (FFO Ajustado Anualizado / Preço)</t>
  </si>
  <si>
    <t>Valor de Fechamento</t>
  </si>
  <si>
    <t>Balanço do Fundo</t>
  </si>
  <si>
    <t>Ativo Circulante</t>
  </si>
  <si>
    <t>Caixa do FII</t>
  </si>
  <si>
    <t>Outros Ativos Circulante</t>
  </si>
  <si>
    <t>Ativo Não Circulante</t>
  </si>
  <si>
    <t>Outros Ativos Não Circulante</t>
  </si>
  <si>
    <t>Patrimônio Líquido</t>
  </si>
  <si>
    <t>Passivo Circulante</t>
  </si>
  <si>
    <t>Passivo Não Circulante</t>
  </si>
  <si>
    <t>Análise do Balanço</t>
  </si>
  <si>
    <t>Margem Líquida (Resultado Líquido / Receita Operacional Líquida)</t>
  </si>
  <si>
    <t>ROE (Resultado Líquido / (PL Médio - Resultado Líquido)</t>
  </si>
  <si>
    <t>Índices de Estutura de Capital</t>
  </si>
  <si>
    <t>Paritcipação de Capital de Terceiros (Passivo Circulante + Exigivel a longo prazo) / Ativo</t>
  </si>
  <si>
    <t>Imobilização do PL (Ativo Permanente / PL)</t>
  </si>
  <si>
    <t>XP Log Fundo de Investimento Imobiliário - FII</t>
  </si>
  <si>
    <t>MG</t>
  </si>
  <si>
    <t>Cidade</t>
  </si>
  <si>
    <t>Itapeva</t>
  </si>
  <si>
    <t>Americana</t>
  </si>
  <si>
    <t>RS</t>
  </si>
  <si>
    <t>Cachoeirinha</t>
  </si>
  <si>
    <t>Ribeirão Preto</t>
  </si>
  <si>
    <t>Área Construída</t>
  </si>
  <si>
    <t>Endereço</t>
  </si>
  <si>
    <t>Estrada Municipal do Mandu, 250</t>
  </si>
  <si>
    <t>Rua João Pádula, 245</t>
  </si>
  <si>
    <t>Rua Lenine Queiroz, 333</t>
  </si>
  <si>
    <t>Via José Luiz Galvão, 1905</t>
  </si>
  <si>
    <t>Bairro</t>
  </si>
  <si>
    <t>Fazenda Santa Inês I</t>
  </si>
  <si>
    <t>Vila Bertini</t>
  </si>
  <si>
    <t>Distrito Industrial</t>
  </si>
  <si>
    <t>Bom Jesus</t>
  </si>
  <si>
    <t>Tipo de contrato</t>
  </si>
  <si>
    <t>Atípico</t>
  </si>
  <si>
    <t>Típico</t>
  </si>
  <si>
    <t>Vencimento contrato</t>
  </si>
  <si>
    <t>Outubro</t>
  </si>
  <si>
    <t>Abril</t>
  </si>
  <si>
    <t>Novembro</t>
  </si>
  <si>
    <t>Julho</t>
  </si>
  <si>
    <t>Reajuste anual por 
correção monetária</t>
  </si>
  <si>
    <t>Índice de 
correção monetária</t>
  </si>
  <si>
    <t>IPCA/IBGE</t>
  </si>
  <si>
    <t>IPC/Fipe</t>
  </si>
  <si>
    <t>Locatário</t>
  </si>
  <si>
    <t xml:space="preserve">Panasonic do Brasil </t>
  </si>
  <si>
    <t>Dia%</t>
  </si>
  <si>
    <t>Via Varejo</t>
  </si>
  <si>
    <t>(1) Em setembro de 2018 foi estornada a taxa de gestão provisionada no fundo em conformidade ao Comunicado ao Mercado divulgado em 06/09/2018. O Gestor, por sua mera liberalidade, abdicou, até o momento, integralmente de sua remuneração com vistas às alcançar a distribuição de R$ 7,0/cota nos doze primeiros meses do fundo</t>
  </si>
  <si>
    <t>Leroy Merlin</t>
  </si>
  <si>
    <t>Cajamar</t>
  </si>
  <si>
    <t>Rod. dos Bandeirantes, km 34</t>
  </si>
  <si>
    <t>n/a</t>
  </si>
  <si>
    <t>Dezembro</t>
  </si>
  <si>
    <t>XP Vista Asset Management LTDA.</t>
  </si>
  <si>
    <t>Lojas Renner</t>
  </si>
  <si>
    <t>SC</t>
  </si>
  <si>
    <t>São José</t>
  </si>
  <si>
    <t>Av. Osvaldo José do Amaral, s/n</t>
  </si>
  <si>
    <t>Areias</t>
  </si>
  <si>
    <t xml:space="preserve">A data de vencimento foi calculado com base no prazo de 188 meses contados a partir da data prevista de conclusão de obras (junho de 2020). </t>
  </si>
  <si>
    <t>Obs.: cálculo em regra de cascata, conforme regulamento</t>
  </si>
  <si>
    <t>Especulativo Cajamar</t>
  </si>
  <si>
    <t>Seara</t>
  </si>
  <si>
    <t>Aurora</t>
  </si>
  <si>
    <t>Martin Brower</t>
  </si>
  <si>
    <t>Fedex</t>
  </si>
  <si>
    <t>GPA</t>
  </si>
  <si>
    <t>Magneti Marelli</t>
  </si>
  <si>
    <t>Grupo Lagoa</t>
  </si>
  <si>
    <t>Autometal</t>
  </si>
  <si>
    <t>Comer Bem</t>
  </si>
  <si>
    <t>RG LOG</t>
  </si>
  <si>
    <t>Indusback</t>
  </si>
  <si>
    <t>Scalt</t>
  </si>
  <si>
    <t>Tamboré</t>
  </si>
  <si>
    <t>RR Log Logística</t>
  </si>
  <si>
    <t>Unilever</t>
  </si>
  <si>
    <t>PE</t>
  </si>
  <si>
    <t>Vacância WTTP2</t>
  </si>
  <si>
    <t>Vacância Cone</t>
  </si>
  <si>
    <t>Cabo de Santo Agostinho</t>
  </si>
  <si>
    <t>Barueri</t>
  </si>
  <si>
    <t>Setembro</t>
  </si>
  <si>
    <t>Janeiro</t>
  </si>
  <si>
    <t>Fevereiro</t>
  </si>
  <si>
    <t>Maio</t>
  </si>
  <si>
    <t>Março</t>
  </si>
  <si>
    <t>Junho</t>
  </si>
  <si>
    <t>IGP-M</t>
  </si>
  <si>
    <t>ROD BR-101 Sul, Km 96,4</t>
  </si>
  <si>
    <t>Av. Ceci, 1.649</t>
  </si>
  <si>
    <t xml:space="preserve">Ativo em construção. As duas tranches liberadas totalizam R$ 140 milhões cuja receita de prêmio de locação é calculada ao Cap de 9,35% a.a..  </t>
  </si>
  <si>
    <r>
      <t xml:space="preserve">Ativo em construção. As três tranches liberadas totalizam R$ 213 milhões cuja receita de prêmio de locação é calculada ao </t>
    </r>
    <r>
      <rPr>
        <i/>
        <sz val="11"/>
        <color theme="1"/>
        <rFont val="Calibri"/>
        <family val="2"/>
        <scheme val="minor"/>
      </rPr>
      <t>Cap</t>
    </r>
    <r>
      <rPr>
        <sz val="11"/>
        <color theme="1"/>
        <rFont val="Calibri"/>
        <family val="2"/>
        <scheme val="minor"/>
      </rPr>
      <t xml:space="preserve"> de 8,30% a.a..  </t>
    </r>
  </si>
  <si>
    <t xml:space="preserve">A data de vencimento foi calculado com base no prazo de 12 meses contados a partir da data prevista de conclusão de obras (fevereiro de 2021). </t>
  </si>
  <si>
    <t>Check</t>
  </si>
  <si>
    <t>Imóveis para Renda*</t>
  </si>
  <si>
    <t>Receita de aluguel (inclui o rendimento do FII NE Logistic)</t>
  </si>
  <si>
    <t>Rendimentos de Cotas de Fundos Imobiliários (fundos terceiros)</t>
  </si>
  <si>
    <t>*Inclui o fundo NE Logistic FII (valor líquido entre ativos e passivos) que investe nos galpões do Cone Multimodal (Cabo de Santo Agostinho/PE)</t>
  </si>
  <si>
    <t>**</t>
  </si>
  <si>
    <t>** O passivo total atual do XP Log se divide da seguinte forma: R$ 63MM Leroy (Cajamar I), R$ 283MM (Especulativo, Cajamar II) e o restante corresponde principamente a dividendos a pagar e outros contas a pagar diversos.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</si>
</sst>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(#,##0\);\-"/>
    <numFmt numFmtId="165" formatCode="[$-416]mmm\-yy;@"/>
    <numFmt numFmtId="166" formatCode="#,##0.00;\(#,##0.00\);\-"/>
    <numFmt numFmtId="167" formatCode="#,##0&quot; m²&quot;"/>
    <numFmt numFmtId="168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 style="hair">
        <color theme="0" tint="-0.14996795556505021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14993743705557422"/>
      </left>
      <right style="thin">
        <color theme="0"/>
      </right>
      <top/>
      <bottom/>
      <diagonal/>
    </border>
    <border>
      <left style="hair">
        <color theme="0" tint="-0.14993743705557422"/>
      </left>
      <right style="thin">
        <color theme="0"/>
      </right>
      <top/>
      <bottom style="hair">
        <color theme="0" tint="-0.14996795556505021"/>
      </bottom>
      <diagonal/>
    </border>
    <border>
      <left/>
      <right style="hair">
        <color theme="0" tint="-0.14993743705557422"/>
      </right>
      <top/>
      <bottom/>
      <diagonal/>
    </border>
    <border>
      <left/>
      <right style="hair">
        <color theme="0" tint="-0.14993743705557422"/>
      </right>
      <top/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 indent="2"/>
    </xf>
    <xf numFmtId="164" fontId="0" fillId="0" borderId="2" xfId="0" applyNumberFormat="1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left" vertical="center"/>
    </xf>
    <xf numFmtId="166" fontId="0" fillId="0" borderId="12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5" fontId="0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5" fillId="0" borderId="15" xfId="0" applyFont="1" applyBorder="1" applyAlignment="1">
      <alignment vertical="justify" wrapText="1"/>
    </xf>
    <xf numFmtId="0" fontId="5" fillId="0" borderId="0" xfId="0" applyFont="1" applyAlignment="1">
      <alignment vertical="justify" wrapText="1"/>
    </xf>
    <xf numFmtId="0" fontId="5" fillId="0" borderId="0" xfId="0" applyFont="1" applyBorder="1" applyAlignment="1">
      <alignment vertical="justify" wrapText="1"/>
    </xf>
    <xf numFmtId="164" fontId="0" fillId="0" borderId="0" xfId="0" applyNumberFormat="1" applyFont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/>
    </xf>
    <xf numFmtId="168" fontId="0" fillId="0" borderId="0" xfId="1" applyNumberFormat="1" applyFont="1" applyAlignment="1">
      <alignment horizontal="center" vertical="center"/>
    </xf>
    <xf numFmtId="164" fontId="1" fillId="0" borderId="2" xfId="0" applyNumberFormat="1" applyFont="1" applyBorder="1" applyAlignment="1">
      <alignment horizontal="left" vertical="center" indent="2"/>
    </xf>
    <xf numFmtId="4" fontId="1" fillId="0" borderId="2" xfId="0" applyNumberFormat="1" applyFont="1" applyBorder="1" applyAlignment="1">
      <alignment horizontal="center" vertical="center"/>
    </xf>
    <xf numFmtId="168" fontId="1" fillId="0" borderId="2" xfId="1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left" vertical="center" indent="2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vertical="justify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justify" vertical="justify" wrapText="1"/>
    </xf>
    <xf numFmtId="0" fontId="5" fillId="0" borderId="0" xfId="0" applyFont="1" applyBorder="1" applyAlignment="1">
      <alignment horizontal="justify" vertical="justify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182033</xdr:colOff>
      <xdr:row>0</xdr:row>
      <xdr:rowOff>132292</xdr:rowOff>
    </xdr:from>
    <xdr:to>
      <xdr:col>6</xdr:col>
      <xdr:colOff>591608</xdr:colOff>
      <xdr:row>3</xdr:row>
      <xdr:rowOff>160867</xdr:rowOff>
    </xdr:to>
    <xdr:pic>
      <xdr:nvPicPr>
        <xdr:cNvPr id="5" name="Imagem 8">
          <a:extLst>
            <a:ext uri="{FF2B5EF4-FFF2-40B4-BE49-F238E27FC236}">
              <a16:creationId xmlns:a16="http://schemas.microsoft.com/office/drawing/2014/main" id="{AF842FA4-54B7-4531-99DD-974222FB6B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" y="132292"/>
          <a:ext cx="36798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178595</xdr:colOff>
      <xdr:row>0</xdr:row>
      <xdr:rowOff>130969</xdr:rowOff>
    </xdr:from>
    <xdr:to>
      <xdr:col>4</xdr:col>
      <xdr:colOff>536576</xdr:colOff>
      <xdr:row>1</xdr:row>
      <xdr:rowOff>16669</xdr:rowOff>
    </xdr:to>
    <xdr:pic>
      <xdr:nvPicPr>
        <xdr:cNvPr id="4" name="Imagem 8">
          <a:extLst>
            <a:ext uri="{FF2B5EF4-FFF2-40B4-BE49-F238E27FC236}">
              <a16:creationId xmlns:a16="http://schemas.microsoft.com/office/drawing/2014/main" id="{0FF7E675-10B7-41B8-8D0A-62A1DEE2C6C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5" y="130969"/>
          <a:ext cx="36798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100853</xdr:colOff>
      <xdr:row>30</xdr:row>
      <xdr:rowOff>168089</xdr:rowOff>
    </xdr:from>
    <xdr:to>
      <xdr:col>1</xdr:col>
      <xdr:colOff>123265</xdr:colOff>
      <xdr:row>32</xdr:row>
      <xdr:rowOff>11207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3487C01-3C92-4873-BDAD-D158B1158D15}"/>
            </a:ext>
          </a:extLst>
        </xdr:cNvPr>
        <xdr:cNvSpPr txBox="1"/>
      </xdr:nvSpPr>
      <xdr:spPr>
        <a:xfrm>
          <a:off x="100853" y="2745442"/>
          <a:ext cx="235324" cy="24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/>
            <a:t>1</a:t>
          </a:r>
        </a:p>
      </xdr:txBody>
    </xdr:sp>
    <xdr:clientData/>
  </xdr:twoCellAnchor>
  <xdr:twoCellAnchor>
    <xdr:from>
      <xdr:col>8</xdr:col>
      <xdr:colOff>997323</xdr:colOff>
      <xdr:row>8</xdr:row>
      <xdr:rowOff>168090</xdr:rowOff>
    </xdr:from>
    <xdr:to>
      <xdr:col>8</xdr:col>
      <xdr:colOff>1210235</xdr:colOff>
      <xdr:row>14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955166C-1EFB-4FFA-969F-D2B8FFBBB602}"/>
            </a:ext>
          </a:extLst>
        </xdr:cNvPr>
        <xdr:cNvSpPr txBox="1"/>
      </xdr:nvSpPr>
      <xdr:spPr>
        <a:xfrm>
          <a:off x="11710147" y="2342031"/>
          <a:ext cx="212912" cy="1042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/>
            <a:t>1</a:t>
          </a:r>
        </a:p>
      </xdr:txBody>
    </xdr:sp>
    <xdr:clientData/>
  </xdr:twoCellAnchor>
  <xdr:twoCellAnchor>
    <xdr:from>
      <xdr:col>10</xdr:col>
      <xdr:colOff>970109</xdr:colOff>
      <xdr:row>8</xdr:row>
      <xdr:rowOff>168090</xdr:rowOff>
    </xdr:from>
    <xdr:to>
      <xdr:col>10</xdr:col>
      <xdr:colOff>1205433</xdr:colOff>
      <xdr:row>30</xdr:row>
      <xdr:rowOff>11208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AEDB767-2487-43B3-8AC2-A6CB5279F4C6}"/>
            </a:ext>
          </a:extLst>
        </xdr:cNvPr>
        <xdr:cNvSpPr txBox="1"/>
      </xdr:nvSpPr>
      <xdr:spPr>
        <a:xfrm>
          <a:off x="14114609" y="2345233"/>
          <a:ext cx="235324" cy="251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/>
            <a:t>2</a:t>
          </a:r>
        </a:p>
      </xdr:txBody>
    </xdr:sp>
    <xdr:clientData/>
  </xdr:twoCellAnchor>
  <xdr:twoCellAnchor>
    <xdr:from>
      <xdr:col>0</xdr:col>
      <xdr:colOff>100853</xdr:colOff>
      <xdr:row>32</xdr:row>
      <xdr:rowOff>168089</xdr:rowOff>
    </xdr:from>
    <xdr:to>
      <xdr:col>1</xdr:col>
      <xdr:colOff>123265</xdr:colOff>
      <xdr:row>34</xdr:row>
      <xdr:rowOff>11207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A7F921C-2E70-4D60-84B5-14724C51C0F1}"/>
            </a:ext>
          </a:extLst>
        </xdr:cNvPr>
        <xdr:cNvSpPr txBox="1"/>
      </xdr:nvSpPr>
      <xdr:spPr>
        <a:xfrm>
          <a:off x="100853" y="2745442"/>
          <a:ext cx="235324" cy="24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/>
            <a:t>2</a:t>
          </a:r>
        </a:p>
      </xdr:txBody>
    </xdr:sp>
    <xdr:clientData/>
  </xdr:twoCellAnchor>
  <xdr:twoCellAnchor>
    <xdr:from>
      <xdr:col>0</xdr:col>
      <xdr:colOff>100853</xdr:colOff>
      <xdr:row>34</xdr:row>
      <xdr:rowOff>168089</xdr:rowOff>
    </xdr:from>
    <xdr:to>
      <xdr:col>1</xdr:col>
      <xdr:colOff>123265</xdr:colOff>
      <xdr:row>36</xdr:row>
      <xdr:rowOff>11207</xdr:rowOff>
    </xdr:to>
    <xdr:sp macro="" textlink="">
      <xdr:nvSpPr>
        <xdr:cNvPr id="7" name="TextBox 7">
          <a:extLst>
            <a:ext uri="{FF2B5EF4-FFF2-40B4-BE49-F238E27FC236}">
              <a16:creationId xmlns:a16="http://schemas.microsoft.com/office/drawing/2014/main" id="{DC2DCD63-0B41-4A08-B2A6-D8F0FF60F620}"/>
            </a:ext>
          </a:extLst>
        </xdr:cNvPr>
        <xdr:cNvSpPr txBox="1"/>
      </xdr:nvSpPr>
      <xdr:spPr>
        <a:xfrm>
          <a:off x="100853" y="7182971"/>
          <a:ext cx="235324" cy="24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/>
            <a:t>3</a:t>
          </a:r>
        </a:p>
      </xdr:txBody>
    </xdr:sp>
    <xdr:clientData/>
  </xdr:twoCellAnchor>
  <xdr:twoCellAnchor>
    <xdr:from>
      <xdr:col>8</xdr:col>
      <xdr:colOff>941295</xdr:colOff>
      <xdr:row>20</xdr:row>
      <xdr:rowOff>145676</xdr:rowOff>
    </xdr:from>
    <xdr:to>
      <xdr:col>8</xdr:col>
      <xdr:colOff>1154207</xdr:colOff>
      <xdr:row>25</xdr:row>
      <xdr:rowOff>179292</xdr:rowOff>
    </xdr:to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06FF81F4-C20B-48F8-AE14-ABF12CAC7F0E}"/>
            </a:ext>
          </a:extLst>
        </xdr:cNvPr>
        <xdr:cNvSpPr txBox="1"/>
      </xdr:nvSpPr>
      <xdr:spPr>
        <a:xfrm>
          <a:off x="11654119" y="4740088"/>
          <a:ext cx="212912" cy="1042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/>
            <a:t>3</a:t>
          </a:r>
        </a:p>
      </xdr:txBody>
    </xdr:sp>
    <xdr:clientData/>
  </xdr:twoCellAnchor>
  <xdr:twoCellAnchor>
    <xdr:from>
      <xdr:col>10</xdr:col>
      <xdr:colOff>997323</xdr:colOff>
      <xdr:row>20</xdr:row>
      <xdr:rowOff>134471</xdr:rowOff>
    </xdr:from>
    <xdr:to>
      <xdr:col>10</xdr:col>
      <xdr:colOff>1210235</xdr:colOff>
      <xdr:row>25</xdr:row>
      <xdr:rowOff>168087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C5D48B44-D85B-4C5C-BD34-53B4306CCDCE}"/>
            </a:ext>
          </a:extLst>
        </xdr:cNvPr>
        <xdr:cNvSpPr txBox="1"/>
      </xdr:nvSpPr>
      <xdr:spPr>
        <a:xfrm>
          <a:off x="14735735" y="4728883"/>
          <a:ext cx="212912" cy="1042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/>
            <a:t>4</a:t>
          </a:r>
        </a:p>
      </xdr:txBody>
    </xdr:sp>
    <xdr:clientData/>
  </xdr:twoCellAnchor>
  <xdr:twoCellAnchor>
    <xdr:from>
      <xdr:col>0</xdr:col>
      <xdr:colOff>100853</xdr:colOff>
      <xdr:row>36</xdr:row>
      <xdr:rowOff>168089</xdr:rowOff>
    </xdr:from>
    <xdr:to>
      <xdr:col>1</xdr:col>
      <xdr:colOff>123265</xdr:colOff>
      <xdr:row>38</xdr:row>
      <xdr:rowOff>11207</xdr:rowOff>
    </xdr:to>
    <xdr:sp macro="" textlink="">
      <xdr:nvSpPr>
        <xdr:cNvPr id="11" name="TextBox 7">
          <a:extLst>
            <a:ext uri="{FF2B5EF4-FFF2-40B4-BE49-F238E27FC236}">
              <a16:creationId xmlns:a16="http://schemas.microsoft.com/office/drawing/2014/main" id="{F49C9CBE-1E6F-4736-A295-88F75574E111}"/>
            </a:ext>
          </a:extLst>
        </xdr:cNvPr>
        <xdr:cNvSpPr txBox="1"/>
      </xdr:nvSpPr>
      <xdr:spPr>
        <a:xfrm>
          <a:off x="100853" y="7586383"/>
          <a:ext cx="235324" cy="24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/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1301750</xdr:colOff>
      <xdr:row>46</xdr:row>
      <xdr:rowOff>169333</xdr:rowOff>
    </xdr:from>
    <xdr:to>
      <xdr:col>1</xdr:col>
      <xdr:colOff>1799167</xdr:colOff>
      <xdr:row>48</xdr:row>
      <xdr:rowOff>62441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FE601EB-B1C1-4735-9A5D-D2F079D5DA85}"/>
            </a:ext>
          </a:extLst>
        </xdr:cNvPr>
        <xdr:cNvSpPr txBox="1"/>
      </xdr:nvSpPr>
      <xdr:spPr>
        <a:xfrm>
          <a:off x="1511300" y="9884833"/>
          <a:ext cx="497417" cy="293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(1)</a:t>
          </a:r>
        </a:p>
      </xdr:txBody>
    </xdr:sp>
    <xdr:clientData/>
  </xdr:twoCellAnchor>
  <xdr:twoCellAnchor>
    <xdr:from>
      <xdr:col>0</xdr:col>
      <xdr:colOff>180975</xdr:colOff>
      <xdr:row>0</xdr:row>
      <xdr:rowOff>114300</xdr:rowOff>
    </xdr:from>
    <xdr:to>
      <xdr:col>1</xdr:col>
      <xdr:colOff>3644106</xdr:colOff>
      <xdr:row>1</xdr:row>
      <xdr:rowOff>0</xdr:rowOff>
    </xdr:to>
    <xdr:pic>
      <xdr:nvPicPr>
        <xdr:cNvPr id="4" name="Imagem 8">
          <a:extLst>
            <a:ext uri="{FF2B5EF4-FFF2-40B4-BE49-F238E27FC236}">
              <a16:creationId xmlns:a16="http://schemas.microsoft.com/office/drawing/2014/main" id="{9F55C76F-DA7F-4E9A-9A64-7E4D5507737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3672681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02244/Desktop/Periodo%20Crise/XPLG11/Apresentacao/032020/XPLG11_Controle_Marco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"/>
      <sheetName val="DemCaixa1"/>
      <sheetName val="DemCaixa"/>
      <sheetName val="CarteiraDiária"/>
      <sheetName val="Rendimentos"/>
      <sheetName val="BBG"/>
      <sheetName val="Bloomberg"/>
      <sheetName val="Rentabilidade"/>
      <sheetName val="Cobrança de Aluguel"/>
      <sheetName val="Memoria Ajuste Taxa Adm"/>
      <sheetName val="Outras &gt;&gt;&gt;&gt;&gt;&gt;&gt;&gt;&gt;&gt;&gt;&gt;&gt;&gt;&gt;&gt;"/>
      <sheetName val="Controle Augueis"/>
      <sheetName val="Fluxo de Caixa"/>
      <sheetName val="IPCA"/>
      <sheetName val="Taxa de adm"/>
      <sheetName val="Tx adm"/>
      <sheetName val="Feriado"/>
      <sheetName val="Calendario_Mes"/>
      <sheetName val="Fluxo Renner"/>
      <sheetName val="Expectativa Bacen"/>
      <sheetName val="Locatario"/>
      <sheetName val="Macro Org Carteiras"/>
      <sheetName val="Zampini "/>
      <sheetName val="Feriados"/>
    </sheetNames>
    <sheetDataSet>
      <sheetData sheetId="0">
        <row r="66">
          <cell r="QV66">
            <v>14643009.51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35"/>
  <sheetViews>
    <sheetView showGridLines="0" showRowColHeaders="0" zoomScale="90" zoomScaleNormal="90" workbookViewId="0"/>
  </sheetViews>
  <sheetFormatPr defaultRowHeight="15" x14ac:dyDescent="0.25"/>
  <cols>
    <col min="1" max="1" width="3" customWidth="1"/>
    <col min="2" max="5" width="9.140625" customWidth="1"/>
    <col min="7" max="8" width="9.28515625" customWidth="1"/>
  </cols>
  <sheetData>
    <row r="5" spans="2:6" ht="15.75" x14ac:dyDescent="0.25">
      <c r="B5" s="2" t="s">
        <v>100</v>
      </c>
    </row>
    <row r="7" spans="2:6" x14ac:dyDescent="0.25">
      <c r="B7" s="1" t="s">
        <v>3</v>
      </c>
      <c r="F7" t="s">
        <v>23</v>
      </c>
    </row>
    <row r="9" spans="2:6" x14ac:dyDescent="0.25">
      <c r="B9" s="1" t="s">
        <v>0</v>
      </c>
      <c r="F9" t="s">
        <v>24</v>
      </c>
    </row>
    <row r="11" spans="2:6" x14ac:dyDescent="0.25">
      <c r="B11" s="1" t="s">
        <v>2</v>
      </c>
      <c r="F11" t="s">
        <v>25</v>
      </c>
    </row>
    <row r="13" spans="2:6" x14ac:dyDescent="0.25">
      <c r="B13" s="1" t="s">
        <v>1</v>
      </c>
      <c r="F13" t="s">
        <v>25</v>
      </c>
    </row>
    <row r="15" spans="2:6" x14ac:dyDescent="0.25">
      <c r="B15" s="1" t="s">
        <v>4</v>
      </c>
      <c r="F15" t="s">
        <v>141</v>
      </c>
    </row>
    <row r="17" spans="2:8" x14ac:dyDescent="0.25">
      <c r="B17" s="1" t="s">
        <v>5</v>
      </c>
      <c r="F17" t="s">
        <v>26</v>
      </c>
    </row>
    <row r="19" spans="2:8" x14ac:dyDescent="0.25">
      <c r="B19" s="1" t="s">
        <v>6</v>
      </c>
      <c r="F19" t="s">
        <v>15</v>
      </c>
    </row>
    <row r="21" spans="2:8" x14ac:dyDescent="0.25">
      <c r="B21" s="1" t="s">
        <v>7</v>
      </c>
    </row>
    <row r="23" spans="2:8" ht="30.75" customHeight="1" x14ac:dyDescent="0.25">
      <c r="C23" s="56" t="s">
        <v>16</v>
      </c>
      <c r="D23" s="56"/>
      <c r="E23" s="56"/>
      <c r="F23" s="57" t="s">
        <v>7</v>
      </c>
      <c r="G23" s="57"/>
      <c r="H23" s="57"/>
    </row>
    <row r="24" spans="2:8" x14ac:dyDescent="0.25">
      <c r="C24" s="58" t="s">
        <v>17</v>
      </c>
      <c r="D24" s="58"/>
      <c r="E24" s="58"/>
      <c r="F24" s="58" t="s">
        <v>9</v>
      </c>
      <c r="G24" s="58"/>
      <c r="H24" s="58"/>
    </row>
    <row r="25" spans="2:8" x14ac:dyDescent="0.25">
      <c r="C25" s="55" t="s">
        <v>18</v>
      </c>
      <c r="D25" s="55"/>
      <c r="E25" s="55"/>
      <c r="F25" s="55" t="s">
        <v>10</v>
      </c>
      <c r="G25" s="55"/>
      <c r="H25" s="55"/>
    </row>
    <row r="26" spans="2:8" x14ac:dyDescent="0.25">
      <c r="C26" s="55" t="s">
        <v>19</v>
      </c>
      <c r="D26" s="55"/>
      <c r="E26" s="55"/>
      <c r="F26" s="55" t="s">
        <v>8</v>
      </c>
      <c r="G26" s="55"/>
      <c r="H26" s="55"/>
    </row>
    <row r="28" spans="2:8" x14ac:dyDescent="0.25">
      <c r="C28" t="s">
        <v>27</v>
      </c>
    </row>
    <row r="29" spans="2:8" x14ac:dyDescent="0.25">
      <c r="C29" t="s">
        <v>148</v>
      </c>
    </row>
    <row r="31" spans="2:8" x14ac:dyDescent="0.25">
      <c r="B31" s="1" t="s">
        <v>11</v>
      </c>
      <c r="F31" t="s">
        <v>12</v>
      </c>
    </row>
    <row r="33" spans="2:6" x14ac:dyDescent="0.25">
      <c r="B33" s="1" t="s">
        <v>20</v>
      </c>
      <c r="F33" t="s">
        <v>13</v>
      </c>
    </row>
    <row r="35" spans="2:6" x14ac:dyDescent="0.25">
      <c r="B35" s="1" t="s">
        <v>14</v>
      </c>
      <c r="F35" t="s">
        <v>28</v>
      </c>
    </row>
  </sheetData>
  <mergeCells count="8">
    <mergeCell ref="C26:E26"/>
    <mergeCell ref="F26:H26"/>
    <mergeCell ref="C23:E23"/>
    <mergeCell ref="F23:H23"/>
    <mergeCell ref="C24:E24"/>
    <mergeCell ref="F24:H24"/>
    <mergeCell ref="C25:E25"/>
    <mergeCell ref="F25:H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showRowColHeader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9.140625" defaultRowHeight="15.75" customHeight="1" x14ac:dyDescent="0.25"/>
  <cols>
    <col min="1" max="1" width="3.140625" style="3" customWidth="1"/>
    <col min="2" max="2" width="28.7109375" style="11" customWidth="1"/>
    <col min="3" max="3" width="9.140625" style="4"/>
    <col min="4" max="4" width="24.5703125" style="4" bestFit="1" customWidth="1"/>
    <col min="5" max="5" width="16" style="4" customWidth="1"/>
    <col min="6" max="6" width="35.7109375" style="4" customWidth="1"/>
    <col min="7" max="7" width="20.7109375" style="4" customWidth="1"/>
    <col min="8" max="11" width="22.7109375" style="4" customWidth="1"/>
    <col min="12" max="16384" width="9.140625" style="4"/>
  </cols>
  <sheetData>
    <row r="1" spans="1:11" s="3" customFormat="1" ht="56.25" customHeight="1" x14ac:dyDescent="0.25">
      <c r="B1" s="4"/>
      <c r="C1" s="5">
        <f>B1+1</f>
        <v>1</v>
      </c>
      <c r="D1" s="5"/>
      <c r="E1" s="5"/>
    </row>
    <row r="2" spans="1:11" s="3" customFormat="1" ht="15.75" customHeight="1" x14ac:dyDescent="0.25">
      <c r="B2" s="2" t="s">
        <v>100</v>
      </c>
      <c r="C2" s="5"/>
      <c r="D2" s="5"/>
      <c r="E2" s="5"/>
    </row>
    <row r="3" spans="1:11" s="3" customFormat="1" ht="15.75" customHeight="1" x14ac:dyDescent="0.25">
      <c r="B3" s="4"/>
      <c r="C3" s="5"/>
      <c r="D3" s="5"/>
      <c r="E3" s="5"/>
    </row>
    <row r="4" spans="1:11" s="7" customFormat="1" ht="17.25" customHeight="1" x14ac:dyDescent="0.25">
      <c r="A4" s="6"/>
      <c r="B4" s="65" t="s">
        <v>131</v>
      </c>
      <c r="C4" s="67" t="s">
        <v>21</v>
      </c>
      <c r="D4" s="67" t="s">
        <v>102</v>
      </c>
      <c r="E4" s="62" t="s">
        <v>108</v>
      </c>
      <c r="F4" s="62" t="s">
        <v>109</v>
      </c>
      <c r="G4" s="62" t="s">
        <v>114</v>
      </c>
      <c r="H4" s="62" t="s">
        <v>119</v>
      </c>
      <c r="I4" s="64" t="s">
        <v>127</v>
      </c>
      <c r="J4" s="64" t="s">
        <v>128</v>
      </c>
      <c r="K4" s="62" t="s">
        <v>122</v>
      </c>
    </row>
    <row r="5" spans="1:11" s="7" customFormat="1" ht="17.25" customHeight="1" x14ac:dyDescent="0.25">
      <c r="A5" s="6"/>
      <c r="B5" s="66"/>
      <c r="C5" s="68"/>
      <c r="D5" s="68"/>
      <c r="E5" s="63"/>
      <c r="F5" s="63"/>
      <c r="G5" s="63"/>
      <c r="H5" s="63"/>
      <c r="I5" s="63"/>
      <c r="J5" s="63"/>
      <c r="K5" s="63"/>
    </row>
    <row r="6" spans="1:11" ht="15.75" customHeight="1" x14ac:dyDescent="0.25">
      <c r="B6" s="9" t="s">
        <v>132</v>
      </c>
      <c r="C6" s="10" t="s">
        <v>101</v>
      </c>
      <c r="D6" s="10" t="s">
        <v>103</v>
      </c>
      <c r="E6" s="34">
        <v>23454</v>
      </c>
      <c r="F6" s="34" t="s">
        <v>110</v>
      </c>
      <c r="G6" s="34" t="s">
        <v>115</v>
      </c>
      <c r="H6" s="34" t="s">
        <v>120</v>
      </c>
      <c r="I6" s="35" t="s">
        <v>123</v>
      </c>
      <c r="J6" s="35" t="s">
        <v>129</v>
      </c>
      <c r="K6" s="35">
        <v>47208</v>
      </c>
    </row>
    <row r="7" spans="1:11" ht="15.75" customHeight="1" x14ac:dyDescent="0.25">
      <c r="B7" s="9" t="s">
        <v>133</v>
      </c>
      <c r="C7" s="10" t="s">
        <v>22</v>
      </c>
      <c r="D7" s="10" t="s">
        <v>104</v>
      </c>
      <c r="E7" s="34">
        <v>30345</v>
      </c>
      <c r="F7" s="34" t="s">
        <v>111</v>
      </c>
      <c r="G7" s="34" t="s">
        <v>116</v>
      </c>
      <c r="H7" s="34" t="s">
        <v>121</v>
      </c>
      <c r="I7" s="35" t="s">
        <v>124</v>
      </c>
      <c r="J7" s="35" t="s">
        <v>130</v>
      </c>
      <c r="K7" s="35">
        <v>47573</v>
      </c>
    </row>
    <row r="8" spans="1:11" ht="15.75" customHeight="1" x14ac:dyDescent="0.25">
      <c r="B8" s="9" t="s">
        <v>134</v>
      </c>
      <c r="C8" s="10" t="s">
        <v>105</v>
      </c>
      <c r="D8" s="10" t="s">
        <v>106</v>
      </c>
      <c r="E8" s="34">
        <v>38410</v>
      </c>
      <c r="F8" s="34" t="s">
        <v>112</v>
      </c>
      <c r="G8" s="34" t="s">
        <v>117</v>
      </c>
      <c r="H8" s="34" t="s">
        <v>120</v>
      </c>
      <c r="I8" s="35" t="s">
        <v>125</v>
      </c>
      <c r="J8" s="35" t="s">
        <v>129</v>
      </c>
      <c r="K8" s="35">
        <v>49444</v>
      </c>
    </row>
    <row r="9" spans="1:11" ht="15.75" customHeight="1" x14ac:dyDescent="0.25">
      <c r="B9" s="9" t="s">
        <v>133</v>
      </c>
      <c r="C9" s="10" t="s">
        <v>22</v>
      </c>
      <c r="D9" s="10" t="s">
        <v>107</v>
      </c>
      <c r="E9" s="34">
        <v>21136</v>
      </c>
      <c r="F9" s="34" t="s">
        <v>113</v>
      </c>
      <c r="G9" s="34" t="s">
        <v>118</v>
      </c>
      <c r="H9" s="34" t="s">
        <v>121</v>
      </c>
      <c r="I9" s="35" t="s">
        <v>126</v>
      </c>
      <c r="J9" s="35" t="s">
        <v>129</v>
      </c>
      <c r="K9" s="35">
        <v>48775</v>
      </c>
    </row>
    <row r="10" spans="1:11" ht="15.75" customHeight="1" x14ac:dyDescent="0.25">
      <c r="B10" s="9" t="s">
        <v>136</v>
      </c>
      <c r="C10" s="10" t="s">
        <v>22</v>
      </c>
      <c r="D10" s="10" t="s">
        <v>137</v>
      </c>
      <c r="E10" s="34">
        <v>110163</v>
      </c>
      <c r="F10" s="34" t="s">
        <v>138</v>
      </c>
      <c r="G10" s="34" t="s">
        <v>139</v>
      </c>
      <c r="H10" s="45" t="s">
        <v>120</v>
      </c>
      <c r="I10" s="35" t="s">
        <v>140</v>
      </c>
      <c r="J10" s="35" t="s">
        <v>129</v>
      </c>
      <c r="K10" s="35">
        <v>49706</v>
      </c>
    </row>
    <row r="11" spans="1:11" ht="15.75" customHeight="1" x14ac:dyDescent="0.25">
      <c r="B11" s="9" t="s">
        <v>142</v>
      </c>
      <c r="C11" s="10" t="s">
        <v>143</v>
      </c>
      <c r="D11" s="10" t="s">
        <v>144</v>
      </c>
      <c r="E11" s="34">
        <v>47912.9</v>
      </c>
      <c r="F11" s="34" t="s">
        <v>145</v>
      </c>
      <c r="G11" s="34" t="s">
        <v>146</v>
      </c>
      <c r="H11" s="34" t="s">
        <v>120</v>
      </c>
      <c r="I11" s="35" t="s">
        <v>125</v>
      </c>
      <c r="J11" s="35" t="s">
        <v>129</v>
      </c>
      <c r="K11" s="35">
        <v>47437</v>
      </c>
    </row>
    <row r="12" spans="1:11" ht="15.75" customHeight="1" x14ac:dyDescent="0.25">
      <c r="B12" s="9" t="s">
        <v>150</v>
      </c>
      <c r="C12" s="10" t="s">
        <v>165</v>
      </c>
      <c r="D12" s="10" t="s">
        <v>168</v>
      </c>
      <c r="E12" s="34">
        <v>6731.91</v>
      </c>
      <c r="F12" s="34" t="s">
        <v>177</v>
      </c>
      <c r="G12" s="34" t="s">
        <v>139</v>
      </c>
      <c r="H12" s="34" t="s">
        <v>121</v>
      </c>
      <c r="I12" s="35" t="s">
        <v>126</v>
      </c>
      <c r="J12" s="35" t="s">
        <v>176</v>
      </c>
      <c r="K12" s="35">
        <v>44564</v>
      </c>
    </row>
    <row r="13" spans="1:11" ht="15.75" customHeight="1" x14ac:dyDescent="0.25">
      <c r="B13" s="9" t="s">
        <v>151</v>
      </c>
      <c r="C13" s="10" t="s">
        <v>165</v>
      </c>
      <c r="D13" s="10" t="s">
        <v>168</v>
      </c>
      <c r="E13" s="34">
        <v>4644.6000000000004</v>
      </c>
      <c r="F13" s="34" t="s">
        <v>177</v>
      </c>
      <c r="G13" s="34" t="s">
        <v>139</v>
      </c>
      <c r="H13" s="34" t="s">
        <v>121</v>
      </c>
      <c r="I13" s="35" t="s">
        <v>170</v>
      </c>
      <c r="J13" s="35" t="s">
        <v>176</v>
      </c>
      <c r="K13" s="35">
        <v>43931</v>
      </c>
    </row>
    <row r="14" spans="1:11" ht="15.75" customHeight="1" x14ac:dyDescent="0.25">
      <c r="B14" s="9" t="s">
        <v>152</v>
      </c>
      <c r="C14" s="10" t="s">
        <v>165</v>
      </c>
      <c r="D14" s="10" t="s">
        <v>168</v>
      </c>
      <c r="E14" s="34">
        <v>8511</v>
      </c>
      <c r="F14" s="34" t="s">
        <v>177</v>
      </c>
      <c r="G14" s="34" t="s">
        <v>139</v>
      </c>
      <c r="H14" s="34" t="s">
        <v>121</v>
      </c>
      <c r="I14" s="35" t="s">
        <v>171</v>
      </c>
      <c r="J14" s="35" t="s">
        <v>129</v>
      </c>
      <c r="K14" s="35">
        <v>44566</v>
      </c>
    </row>
    <row r="15" spans="1:11" ht="15.75" customHeight="1" x14ac:dyDescent="0.25">
      <c r="B15" s="9" t="s">
        <v>153</v>
      </c>
      <c r="C15" s="10" t="s">
        <v>165</v>
      </c>
      <c r="D15" s="10" t="s">
        <v>168</v>
      </c>
      <c r="E15" s="34">
        <v>30008.66</v>
      </c>
      <c r="F15" s="34" t="s">
        <v>177</v>
      </c>
      <c r="G15" s="34" t="s">
        <v>139</v>
      </c>
      <c r="H15" s="34" t="s">
        <v>120</v>
      </c>
      <c r="I15" s="35" t="s">
        <v>170</v>
      </c>
      <c r="J15" s="35" t="s">
        <v>176</v>
      </c>
      <c r="K15" s="35">
        <v>45260</v>
      </c>
    </row>
    <row r="16" spans="1:11" ht="15.75" customHeight="1" x14ac:dyDescent="0.25">
      <c r="B16" s="9" t="s">
        <v>154</v>
      </c>
      <c r="C16" s="10" t="s">
        <v>165</v>
      </c>
      <c r="D16" s="10" t="s">
        <v>168</v>
      </c>
      <c r="E16" s="34">
        <v>53930</v>
      </c>
      <c r="F16" s="34" t="s">
        <v>177</v>
      </c>
      <c r="G16" s="34" t="s">
        <v>139</v>
      </c>
      <c r="H16" s="34" t="s">
        <v>120</v>
      </c>
      <c r="I16" s="35" t="s">
        <v>125</v>
      </c>
      <c r="J16" s="35" t="s">
        <v>176</v>
      </c>
      <c r="K16" s="35">
        <v>49258</v>
      </c>
    </row>
    <row r="17" spans="2:11" ht="15.75" customHeight="1" x14ac:dyDescent="0.25">
      <c r="B17" s="9" t="s">
        <v>134</v>
      </c>
      <c r="C17" s="10" t="s">
        <v>165</v>
      </c>
      <c r="D17" s="10" t="s">
        <v>168</v>
      </c>
      <c r="E17" s="34">
        <v>56122.89</v>
      </c>
      <c r="F17" s="34" t="s">
        <v>177</v>
      </c>
      <c r="G17" s="34" t="s">
        <v>139</v>
      </c>
      <c r="H17" s="34" t="s">
        <v>120</v>
      </c>
      <c r="I17" s="35" t="s">
        <v>140</v>
      </c>
      <c r="J17" s="35" t="s">
        <v>176</v>
      </c>
      <c r="K17" s="35">
        <v>49279</v>
      </c>
    </row>
    <row r="18" spans="2:11" ht="15.75" customHeight="1" x14ac:dyDescent="0.25">
      <c r="B18" s="9" t="s">
        <v>155</v>
      </c>
      <c r="C18" s="10" t="s">
        <v>165</v>
      </c>
      <c r="D18" s="10" t="s">
        <v>168</v>
      </c>
      <c r="E18" s="34">
        <v>8188.5599999999995</v>
      </c>
      <c r="F18" s="34" t="s">
        <v>177</v>
      </c>
      <c r="G18" s="34" t="s">
        <v>139</v>
      </c>
      <c r="H18" s="34" t="s">
        <v>121</v>
      </c>
      <c r="I18" s="35" t="s">
        <v>172</v>
      </c>
      <c r="J18" s="35" t="s">
        <v>176</v>
      </c>
      <c r="K18" s="35">
        <v>45992</v>
      </c>
    </row>
    <row r="19" spans="2:11" ht="15.75" customHeight="1" x14ac:dyDescent="0.25">
      <c r="B19" s="9" t="s">
        <v>156</v>
      </c>
      <c r="C19" s="10" t="s">
        <v>165</v>
      </c>
      <c r="D19" s="10" t="s">
        <v>168</v>
      </c>
      <c r="E19" s="34">
        <v>5461</v>
      </c>
      <c r="F19" s="34" t="s">
        <v>177</v>
      </c>
      <c r="G19" s="34" t="s">
        <v>139</v>
      </c>
      <c r="H19" s="34" t="s">
        <v>121</v>
      </c>
      <c r="I19" s="35" t="s">
        <v>170</v>
      </c>
      <c r="J19" s="35" t="s">
        <v>176</v>
      </c>
      <c r="K19" s="35">
        <v>44562</v>
      </c>
    </row>
    <row r="20" spans="2:11" ht="15.75" customHeight="1" x14ac:dyDescent="0.25">
      <c r="B20" s="9" t="s">
        <v>157</v>
      </c>
      <c r="C20" s="10" t="s">
        <v>165</v>
      </c>
      <c r="D20" s="10" t="s">
        <v>168</v>
      </c>
      <c r="E20" s="34">
        <v>5438.3700000000008</v>
      </c>
      <c r="F20" s="34" t="s">
        <v>177</v>
      </c>
      <c r="G20" s="34" t="s">
        <v>139</v>
      </c>
      <c r="H20" s="34" t="s">
        <v>121</v>
      </c>
      <c r="I20" s="35" t="s">
        <v>171</v>
      </c>
      <c r="J20" s="35" t="s">
        <v>176</v>
      </c>
      <c r="K20" s="35">
        <v>45657</v>
      </c>
    </row>
    <row r="21" spans="2:11" ht="15.75" customHeight="1" x14ac:dyDescent="0.25">
      <c r="B21" s="9" t="s">
        <v>158</v>
      </c>
      <c r="C21" s="10" t="s">
        <v>165</v>
      </c>
      <c r="D21" s="10" t="s">
        <v>168</v>
      </c>
      <c r="E21" s="34">
        <v>775</v>
      </c>
      <c r="F21" s="34" t="s">
        <v>177</v>
      </c>
      <c r="G21" s="34" t="s">
        <v>139</v>
      </c>
      <c r="H21" s="34" t="s">
        <v>121</v>
      </c>
      <c r="I21" s="35" t="s">
        <v>173</v>
      </c>
      <c r="J21" s="35" t="s">
        <v>176</v>
      </c>
      <c r="K21" s="35">
        <v>44057</v>
      </c>
    </row>
    <row r="22" spans="2:11" ht="15.75" customHeight="1" x14ac:dyDescent="0.25">
      <c r="B22" s="9" t="s">
        <v>149</v>
      </c>
      <c r="C22" s="10" t="s">
        <v>22</v>
      </c>
      <c r="D22" s="10" t="s">
        <v>137</v>
      </c>
      <c r="E22" s="34">
        <v>125717</v>
      </c>
      <c r="F22" s="34" t="s">
        <v>138</v>
      </c>
      <c r="G22" s="34" t="s">
        <v>139</v>
      </c>
      <c r="H22" s="45" t="s">
        <v>121</v>
      </c>
      <c r="I22" s="35" t="s">
        <v>123</v>
      </c>
      <c r="J22" s="35" t="s">
        <v>129</v>
      </c>
      <c r="K22" s="35">
        <v>44620</v>
      </c>
    </row>
    <row r="23" spans="2:11" ht="15.75" customHeight="1" x14ac:dyDescent="0.25">
      <c r="B23" s="9" t="s">
        <v>159</v>
      </c>
      <c r="C23" s="10" t="s">
        <v>22</v>
      </c>
      <c r="D23" s="10" t="s">
        <v>169</v>
      </c>
      <c r="E23" s="34">
        <v>15587.760000000002</v>
      </c>
      <c r="F23" s="34" t="s">
        <v>178</v>
      </c>
      <c r="G23" s="34" t="s">
        <v>162</v>
      </c>
      <c r="H23" s="34" t="s">
        <v>121</v>
      </c>
      <c r="I23" s="35" t="s">
        <v>124</v>
      </c>
      <c r="J23" s="35" t="s">
        <v>176</v>
      </c>
      <c r="K23" s="35">
        <v>44804</v>
      </c>
    </row>
    <row r="24" spans="2:11" ht="15.75" customHeight="1" x14ac:dyDescent="0.25">
      <c r="B24" s="9" t="s">
        <v>160</v>
      </c>
      <c r="C24" s="10" t="s">
        <v>22</v>
      </c>
      <c r="D24" s="10" t="s">
        <v>169</v>
      </c>
      <c r="E24" s="34">
        <v>1712.5439999999999</v>
      </c>
      <c r="F24" s="34" t="s">
        <v>178</v>
      </c>
      <c r="G24" s="34" t="s">
        <v>162</v>
      </c>
      <c r="H24" s="34" t="s">
        <v>121</v>
      </c>
      <c r="I24" s="35" t="s">
        <v>174</v>
      </c>
      <c r="J24" s="35" t="s">
        <v>176</v>
      </c>
      <c r="K24" s="35">
        <v>49310</v>
      </c>
    </row>
    <row r="25" spans="2:11" ht="15.75" customHeight="1" x14ac:dyDescent="0.25">
      <c r="B25" s="9" t="s">
        <v>161</v>
      </c>
      <c r="C25" s="10" t="s">
        <v>22</v>
      </c>
      <c r="D25" s="10" t="s">
        <v>169</v>
      </c>
      <c r="E25" s="34">
        <v>1492.472</v>
      </c>
      <c r="F25" s="34" t="s">
        <v>178</v>
      </c>
      <c r="G25" s="34" t="s">
        <v>162</v>
      </c>
      <c r="H25" s="34" t="s">
        <v>121</v>
      </c>
      <c r="I25" s="35" t="s">
        <v>124</v>
      </c>
      <c r="J25" s="35" t="s">
        <v>176</v>
      </c>
      <c r="K25" s="35">
        <v>45018</v>
      </c>
    </row>
    <row r="26" spans="2:11" ht="15.75" customHeight="1" x14ac:dyDescent="0.25">
      <c r="B26" s="9" t="s">
        <v>162</v>
      </c>
      <c r="C26" s="10" t="s">
        <v>22</v>
      </c>
      <c r="D26" s="10" t="s">
        <v>169</v>
      </c>
      <c r="E26" s="34">
        <v>3898.2160000000003</v>
      </c>
      <c r="F26" s="34" t="s">
        <v>178</v>
      </c>
      <c r="G26" s="34" t="s">
        <v>162</v>
      </c>
      <c r="H26" s="34" t="s">
        <v>121</v>
      </c>
      <c r="I26" s="35" t="s">
        <v>175</v>
      </c>
      <c r="J26" s="35" t="s">
        <v>176</v>
      </c>
      <c r="K26" s="35">
        <v>44713</v>
      </c>
    </row>
    <row r="27" spans="2:11" ht="15.75" customHeight="1" x14ac:dyDescent="0.25">
      <c r="B27" s="9" t="s">
        <v>163</v>
      </c>
      <c r="C27" s="10" t="s">
        <v>22</v>
      </c>
      <c r="D27" s="10" t="s">
        <v>169</v>
      </c>
      <c r="E27" s="34">
        <v>580.80000000000007</v>
      </c>
      <c r="F27" s="34" t="s">
        <v>178</v>
      </c>
      <c r="G27" s="34" t="s">
        <v>162</v>
      </c>
      <c r="H27" s="34" t="s">
        <v>121</v>
      </c>
      <c r="I27" s="35" t="s">
        <v>171</v>
      </c>
      <c r="J27" s="35" t="s">
        <v>176</v>
      </c>
      <c r="K27" s="35">
        <v>45505</v>
      </c>
    </row>
    <row r="28" spans="2:11" ht="15.75" customHeight="1" x14ac:dyDescent="0.25">
      <c r="B28" s="9" t="s">
        <v>164</v>
      </c>
      <c r="C28" s="10" t="s">
        <v>165</v>
      </c>
      <c r="D28" s="10" t="s">
        <v>168</v>
      </c>
      <c r="E28" s="34">
        <v>23024.7</v>
      </c>
      <c r="F28" s="34" t="s">
        <v>177</v>
      </c>
      <c r="G28" s="34" t="s">
        <v>139</v>
      </c>
      <c r="H28" s="34" t="s">
        <v>120</v>
      </c>
      <c r="I28" s="35" t="s">
        <v>170</v>
      </c>
      <c r="J28" s="35" t="s">
        <v>176</v>
      </c>
      <c r="K28" s="35">
        <v>45180</v>
      </c>
    </row>
    <row r="29" spans="2:11" ht="15.75" customHeight="1" x14ac:dyDescent="0.25">
      <c r="B29" s="9" t="s">
        <v>166</v>
      </c>
      <c r="C29" s="10" t="s">
        <v>22</v>
      </c>
      <c r="D29" s="10" t="s">
        <v>169</v>
      </c>
      <c r="E29" s="34">
        <v>1382.4480000000001</v>
      </c>
      <c r="F29" s="34" t="s">
        <v>178</v>
      </c>
      <c r="G29" s="34" t="s">
        <v>162</v>
      </c>
      <c r="H29" s="34" t="s">
        <v>139</v>
      </c>
      <c r="I29" s="34" t="s">
        <v>139</v>
      </c>
      <c r="J29" s="34" t="s">
        <v>139</v>
      </c>
      <c r="K29" s="34" t="s">
        <v>139</v>
      </c>
    </row>
    <row r="30" spans="2:11" ht="15.75" customHeight="1" x14ac:dyDescent="0.25">
      <c r="B30" s="9" t="s">
        <v>167</v>
      </c>
      <c r="C30" s="10" t="s">
        <v>165</v>
      </c>
      <c r="D30" s="10" t="s">
        <v>168</v>
      </c>
      <c r="E30" s="34">
        <v>23261.97</v>
      </c>
      <c r="F30" s="34" t="s">
        <v>177</v>
      </c>
      <c r="G30" s="34" t="s">
        <v>139</v>
      </c>
      <c r="H30" s="34" t="s">
        <v>139</v>
      </c>
      <c r="I30" s="34" t="s">
        <v>139</v>
      </c>
      <c r="J30" s="34" t="s">
        <v>139</v>
      </c>
      <c r="K30" s="34" t="s">
        <v>139</v>
      </c>
    </row>
    <row r="32" spans="2:11" ht="15.75" customHeight="1" x14ac:dyDescent="0.25">
      <c r="B32" s="59" t="s">
        <v>180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5.75" customHeight="1" x14ac:dyDescent="0.25"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2:11" ht="15.75" customHeight="1" x14ac:dyDescent="0.25">
      <c r="B34" s="60" t="s">
        <v>147</v>
      </c>
      <c r="C34" s="61"/>
      <c r="D34" s="61"/>
      <c r="E34" s="61"/>
      <c r="F34" s="61"/>
      <c r="G34" s="61"/>
      <c r="H34" s="61"/>
      <c r="I34" s="61"/>
      <c r="J34" s="61"/>
      <c r="K34" s="61"/>
    </row>
    <row r="35" spans="2:11" ht="15.75" customHeight="1" x14ac:dyDescent="0.25"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2:11" ht="15.75" customHeight="1" x14ac:dyDescent="0.25">
      <c r="B36" s="11" t="s">
        <v>179</v>
      </c>
    </row>
    <row r="38" spans="2:11" ht="15.75" customHeight="1" x14ac:dyDescent="0.25">
      <c r="B38" s="11" t="s">
        <v>181</v>
      </c>
    </row>
  </sheetData>
  <mergeCells count="12">
    <mergeCell ref="B32:K33"/>
    <mergeCell ref="B34:K35"/>
    <mergeCell ref="G4:G5"/>
    <mergeCell ref="H4:H5"/>
    <mergeCell ref="K4:K5"/>
    <mergeCell ref="I4:I5"/>
    <mergeCell ref="J4:J5"/>
    <mergeCell ref="B4:B5"/>
    <mergeCell ref="C4:C5"/>
    <mergeCell ref="E4:E5"/>
    <mergeCell ref="D4:D5"/>
    <mergeCell ref="F4:F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showGridLines="0" tabSelected="1" zoomScaleNormal="100" workbookViewId="0">
      <pane xSplit="2" ySplit="4" topLeftCell="V88" activePane="bottomRight" state="frozen"/>
      <selection pane="topRight" activeCell="C1" sqref="C1"/>
      <selection pane="bottomLeft" activeCell="A5" sqref="A5"/>
      <selection pane="bottomRight" activeCell="B92" sqref="B92"/>
    </sheetView>
  </sheetViews>
  <sheetFormatPr defaultColWidth="9.140625" defaultRowHeight="15.75" customHeight="1" x14ac:dyDescent="0.25"/>
  <cols>
    <col min="1" max="1" width="3.140625" style="3" customWidth="1"/>
    <col min="2" max="2" width="85.7109375" style="11" customWidth="1"/>
    <col min="3" max="3" width="14.85546875" style="12" bestFit="1" customWidth="1"/>
    <col min="4" max="4" width="16" style="12" customWidth="1"/>
    <col min="5" max="18" width="14.85546875" style="12" bestFit="1" customWidth="1"/>
    <col min="19" max="24" width="14.85546875" style="12" customWidth="1"/>
    <col min="25" max="25" width="2.5703125" style="4" customWidth="1"/>
    <col min="26" max="26" width="11.5703125" style="4" bestFit="1" customWidth="1"/>
    <col min="27" max="16384" width="9.140625" style="4"/>
  </cols>
  <sheetData>
    <row r="1" spans="2:24" s="3" customFormat="1" ht="56.25" customHeight="1" x14ac:dyDescent="0.25">
      <c r="B1" s="4"/>
      <c r="C1" s="5">
        <f>B1+1</f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s="3" customFormat="1" ht="15.75" customHeight="1" x14ac:dyDescent="0.25">
      <c r="B2" s="2" t="s">
        <v>100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s="3" customFormat="1" ht="15.75" customHeight="1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2"/>
      <c r="V3" s="5"/>
      <c r="W3" s="5"/>
      <c r="X3" s="5"/>
    </row>
    <row r="4" spans="2:24" ht="15.75" customHeight="1" x14ac:dyDescent="0.25">
      <c r="B4" s="36" t="s">
        <v>29</v>
      </c>
      <c r="C4" s="37">
        <v>43252</v>
      </c>
      <c r="D4" s="38">
        <f t="shared" ref="D4:I4" si="0">IFERROR(EDATE(C4,1),0)</f>
        <v>43282</v>
      </c>
      <c r="E4" s="38">
        <f t="shared" si="0"/>
        <v>43313</v>
      </c>
      <c r="F4" s="37">
        <f t="shared" si="0"/>
        <v>43344</v>
      </c>
      <c r="G4" s="38">
        <f t="shared" si="0"/>
        <v>43374</v>
      </c>
      <c r="H4" s="38">
        <f t="shared" si="0"/>
        <v>43405</v>
      </c>
      <c r="I4" s="38">
        <f t="shared" si="0"/>
        <v>43435</v>
      </c>
      <c r="J4" s="38">
        <f t="shared" ref="J4:M4" si="1">IFERROR(EDATE(I4,1),0)</f>
        <v>43466</v>
      </c>
      <c r="K4" s="38">
        <f t="shared" si="1"/>
        <v>43497</v>
      </c>
      <c r="L4" s="38">
        <f t="shared" si="1"/>
        <v>43525</v>
      </c>
      <c r="M4" s="38">
        <f t="shared" si="1"/>
        <v>43556</v>
      </c>
      <c r="N4" s="38">
        <f t="shared" ref="N4" si="2">IFERROR(EDATE(M4,1),0)</f>
        <v>43586</v>
      </c>
      <c r="O4" s="38">
        <f t="shared" ref="O4" si="3">IFERROR(EDATE(N4,1),0)</f>
        <v>43617</v>
      </c>
      <c r="P4" s="38">
        <f t="shared" ref="P4" si="4">IFERROR(EDATE(O4,1),0)</f>
        <v>43647</v>
      </c>
      <c r="Q4" s="38">
        <f t="shared" ref="Q4" si="5">IFERROR(EDATE(P4,1),0)</f>
        <v>43678</v>
      </c>
      <c r="R4" s="38">
        <f t="shared" ref="R4" si="6">IFERROR(EDATE(Q4,1),0)</f>
        <v>43709</v>
      </c>
      <c r="S4" s="38">
        <f t="shared" ref="S4" si="7">IFERROR(EDATE(R4,1),0)</f>
        <v>43739</v>
      </c>
      <c r="T4" s="38">
        <f t="shared" ref="T4:U4" si="8">IFERROR(EDATE(S4,1),0)</f>
        <v>43770</v>
      </c>
      <c r="U4" s="38">
        <f t="shared" si="8"/>
        <v>43800</v>
      </c>
      <c r="V4" s="38">
        <f t="shared" ref="V4" si="9">IFERROR(EDATE(U4,1),0)</f>
        <v>43831</v>
      </c>
      <c r="W4" s="38">
        <f t="shared" ref="W4" si="10">IFERROR(EDATE(V4,1),0)</f>
        <v>43862</v>
      </c>
      <c r="X4" s="38">
        <f t="shared" ref="X4" si="11">IFERROR(EDATE(W4,1),0)</f>
        <v>43891</v>
      </c>
    </row>
    <row r="5" spans="2:24" ht="15.75" customHeight="1" x14ac:dyDescent="0.25">
      <c r="B5" s="16" t="s">
        <v>30</v>
      </c>
      <c r="C5" s="13">
        <f t="shared" ref="C5:H5" si="12">SUM(C6,C7:C14)</f>
        <v>0</v>
      </c>
      <c r="D5" s="15">
        <f t="shared" si="12"/>
        <v>302293.90000000002</v>
      </c>
      <c r="E5" s="15">
        <f t="shared" si="12"/>
        <v>1690213.6099999999</v>
      </c>
      <c r="F5" s="13">
        <f t="shared" si="12"/>
        <v>1795006.85</v>
      </c>
      <c r="G5" s="15">
        <f t="shared" si="12"/>
        <v>1795030.07</v>
      </c>
      <c r="H5" s="15">
        <f t="shared" si="12"/>
        <v>2235459.4</v>
      </c>
      <c r="I5" s="15">
        <f t="shared" ref="I5:L5" si="13">SUM(I6,I7:I14)</f>
        <v>2268225.5237278342</v>
      </c>
      <c r="J5" s="15">
        <f t="shared" si="13"/>
        <v>2536388.6164475572</v>
      </c>
      <c r="K5" s="15">
        <f t="shared" si="13"/>
        <v>2531751.12</v>
      </c>
      <c r="L5" s="15">
        <f t="shared" si="13"/>
        <v>2536417.31</v>
      </c>
      <c r="M5" s="15">
        <f t="shared" ref="M5:R5" si="14">SUM(M6,M7:M14)</f>
        <v>2536417.31</v>
      </c>
      <c r="N5" s="15">
        <f t="shared" si="14"/>
        <v>2558466.87</v>
      </c>
      <c r="O5" s="15">
        <f t="shared" si="14"/>
        <v>3816704.330000001</v>
      </c>
      <c r="P5" s="15">
        <f t="shared" si="14"/>
        <v>4745622.3599999994</v>
      </c>
      <c r="Q5" s="15">
        <f t="shared" si="14"/>
        <v>4317300.42</v>
      </c>
      <c r="R5" s="15">
        <f t="shared" si="14"/>
        <v>4367310.67</v>
      </c>
      <c r="S5" s="15">
        <f t="shared" ref="S5:T5" si="15">SUM(S6,S7:S14)</f>
        <v>9827190.959999999</v>
      </c>
      <c r="T5" s="15">
        <f t="shared" si="15"/>
        <v>11057247.121418145</v>
      </c>
      <c r="U5" s="15">
        <f t="shared" ref="U5:X5" si="16">SUM(U6,U7:U14)</f>
        <v>10940512.82</v>
      </c>
      <c r="V5" s="15">
        <f t="shared" si="16"/>
        <v>11664687.139999999</v>
      </c>
      <c r="W5" s="15">
        <f t="shared" si="16"/>
        <v>9549032.5115496051</v>
      </c>
      <c r="X5" s="15">
        <f t="shared" si="16"/>
        <v>13050236.289999999</v>
      </c>
    </row>
    <row r="6" spans="2:24" ht="15.75" customHeight="1" x14ac:dyDescent="0.25">
      <c r="B6" s="17" t="s">
        <v>184</v>
      </c>
      <c r="C6" s="14">
        <v>0</v>
      </c>
      <c r="D6" s="14">
        <v>302293.90000000002</v>
      </c>
      <c r="E6" s="14">
        <v>1690213.6099999999</v>
      </c>
      <c r="F6" s="14">
        <v>1795006.85</v>
      </c>
      <c r="G6" s="14">
        <v>1795030.07</v>
      </c>
      <c r="H6" s="14">
        <v>2235459.4</v>
      </c>
      <c r="I6" s="14">
        <v>2268225.5237278342</v>
      </c>
      <c r="J6" s="14">
        <v>2536388.6164475572</v>
      </c>
      <c r="K6" s="14">
        <v>2531751.12</v>
      </c>
      <c r="L6" s="14">
        <v>2536417.31</v>
      </c>
      <c r="M6" s="14">
        <v>2536417.31</v>
      </c>
      <c r="N6" s="14">
        <v>2558466.87</v>
      </c>
      <c r="O6" s="14">
        <v>3816704.330000001</v>
      </c>
      <c r="P6" s="14">
        <v>4745622.3599999994</v>
      </c>
      <c r="Q6" s="14">
        <v>4317300.42</v>
      </c>
      <c r="R6" s="14">
        <v>4367310.67</v>
      </c>
      <c r="S6" s="14">
        <v>9827190.959999999</v>
      </c>
      <c r="T6" s="14">
        <v>11057247.121418145</v>
      </c>
      <c r="U6" s="14">
        <v>10940512.82</v>
      </c>
      <c r="V6" s="14">
        <v>11664687.139999999</v>
      </c>
      <c r="W6" s="14">
        <v>9549032.5115496051</v>
      </c>
      <c r="X6" s="14">
        <v>13050236.289999999</v>
      </c>
    </row>
    <row r="7" spans="2:24" ht="15.75" customHeight="1" x14ac:dyDescent="0.25">
      <c r="B7" s="18" t="s">
        <v>31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</row>
    <row r="8" spans="2:24" ht="15.75" customHeight="1" x14ac:dyDescent="0.25">
      <c r="B8" s="18" t="s">
        <v>32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</row>
    <row r="9" spans="2:24" ht="15.75" customHeight="1" x14ac:dyDescent="0.25">
      <c r="B9" s="18" t="s">
        <v>33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2:24" ht="15.75" customHeight="1" x14ac:dyDescent="0.25">
      <c r="B10" s="18" t="s">
        <v>34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</row>
    <row r="11" spans="2:24" ht="15.75" customHeight="1" x14ac:dyDescent="0.25">
      <c r="B11" s="18" t="s">
        <v>35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2:24" ht="15.75" customHeight="1" x14ac:dyDescent="0.25">
      <c r="B12" s="18" t="s">
        <v>36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2:24" ht="15.75" customHeight="1" x14ac:dyDescent="0.25">
      <c r="B13" s="18" t="s">
        <v>37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</row>
    <row r="14" spans="2:24" ht="15.75" customHeight="1" x14ac:dyDescent="0.25">
      <c r="B14" s="18" t="s">
        <v>38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</row>
    <row r="16" spans="2:24" ht="15.75" customHeight="1" x14ac:dyDescent="0.25">
      <c r="B16" s="16" t="s">
        <v>39</v>
      </c>
      <c r="C16" s="21">
        <f t="shared" ref="C16:X16" si="17">SUM(C17:C17)</f>
        <v>0</v>
      </c>
      <c r="D16" s="20">
        <f t="shared" si="17"/>
        <v>0</v>
      </c>
      <c r="E16" s="20">
        <f t="shared" si="17"/>
        <v>0</v>
      </c>
      <c r="F16" s="21">
        <f t="shared" si="17"/>
        <v>0</v>
      </c>
      <c r="G16" s="20">
        <f t="shared" si="17"/>
        <v>0</v>
      </c>
      <c r="H16" s="20">
        <f t="shared" si="17"/>
        <v>0</v>
      </c>
      <c r="I16" s="20">
        <f t="shared" si="17"/>
        <v>0</v>
      </c>
      <c r="J16" s="20">
        <f t="shared" si="17"/>
        <v>0</v>
      </c>
      <c r="K16" s="20">
        <f t="shared" si="17"/>
        <v>0</v>
      </c>
      <c r="L16" s="20">
        <f t="shared" si="17"/>
        <v>0</v>
      </c>
      <c r="M16" s="20">
        <f t="shared" si="17"/>
        <v>0</v>
      </c>
      <c r="N16" s="20">
        <f t="shared" si="17"/>
        <v>0</v>
      </c>
      <c r="O16" s="20">
        <f t="shared" si="17"/>
        <v>0</v>
      </c>
      <c r="P16" s="20">
        <f t="shared" si="17"/>
        <v>0</v>
      </c>
      <c r="Q16" s="20">
        <f t="shared" si="17"/>
        <v>0</v>
      </c>
      <c r="R16" s="20">
        <f t="shared" si="17"/>
        <v>0</v>
      </c>
      <c r="S16" s="20">
        <f t="shared" si="17"/>
        <v>0</v>
      </c>
      <c r="T16" s="20">
        <f t="shared" si="17"/>
        <v>0</v>
      </c>
      <c r="U16" s="20">
        <f t="shared" si="17"/>
        <v>0</v>
      </c>
      <c r="V16" s="20">
        <f t="shared" si="17"/>
        <v>0</v>
      </c>
      <c r="W16" s="20">
        <f t="shared" si="17"/>
        <v>0</v>
      </c>
      <c r="X16" s="20">
        <f t="shared" si="17"/>
        <v>0</v>
      </c>
    </row>
    <row r="17" spans="2:24" ht="15.75" customHeight="1" x14ac:dyDescent="0.25">
      <c r="B17" s="17" t="s">
        <v>40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9" spans="2:24" ht="15.75" customHeight="1" x14ac:dyDescent="0.25">
      <c r="B19" s="16" t="s">
        <v>41</v>
      </c>
      <c r="C19" s="21">
        <f t="shared" ref="C19:G19" si="18">SUM(C20:C23)</f>
        <v>0</v>
      </c>
      <c r="D19" s="20">
        <f t="shared" si="18"/>
        <v>0</v>
      </c>
      <c r="E19" s="20">
        <f t="shared" si="18"/>
        <v>0</v>
      </c>
      <c r="F19" s="21">
        <f t="shared" si="18"/>
        <v>0</v>
      </c>
      <c r="G19" s="20">
        <f t="shared" si="18"/>
        <v>0</v>
      </c>
      <c r="H19" s="20">
        <f t="shared" ref="H19:I19" si="19">SUM(H20:H23)</f>
        <v>0</v>
      </c>
      <c r="I19" s="20">
        <f t="shared" si="19"/>
        <v>0</v>
      </c>
      <c r="J19" s="20">
        <f t="shared" ref="J19:L19" si="20">SUM(J20:J23)</f>
        <v>0</v>
      </c>
      <c r="K19" s="20">
        <f t="shared" si="20"/>
        <v>0</v>
      </c>
      <c r="L19" s="20">
        <f t="shared" si="20"/>
        <v>0</v>
      </c>
      <c r="M19" s="20">
        <f t="shared" ref="M19:R19" si="21">SUM(M20:M23)</f>
        <v>0</v>
      </c>
      <c r="N19" s="20">
        <f t="shared" si="21"/>
        <v>0</v>
      </c>
      <c r="O19" s="20">
        <f t="shared" si="21"/>
        <v>0</v>
      </c>
      <c r="P19" s="20">
        <f t="shared" si="21"/>
        <v>0</v>
      </c>
      <c r="Q19" s="20">
        <f t="shared" si="21"/>
        <v>0</v>
      </c>
      <c r="R19" s="20">
        <f t="shared" si="21"/>
        <v>0</v>
      </c>
      <c r="S19" s="20">
        <f t="shared" ref="S19:T19" si="22">SUM(S20:S23)</f>
        <v>0</v>
      </c>
      <c r="T19" s="20">
        <f t="shared" si="22"/>
        <v>0</v>
      </c>
      <c r="U19" s="20">
        <f t="shared" ref="U19:X19" si="23">SUM(U20:U23)</f>
        <v>0</v>
      </c>
      <c r="V19" s="20">
        <f t="shared" si="23"/>
        <v>0</v>
      </c>
      <c r="W19" s="20">
        <f t="shared" si="23"/>
        <v>0</v>
      </c>
      <c r="X19" s="20">
        <f t="shared" si="23"/>
        <v>0</v>
      </c>
    </row>
    <row r="20" spans="2:24" ht="15.75" customHeight="1" x14ac:dyDescent="0.25">
      <c r="B20" s="17" t="s">
        <v>42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</row>
    <row r="21" spans="2:24" ht="15.75" customHeight="1" x14ac:dyDescent="0.25">
      <c r="B21" s="18" t="s">
        <v>43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2:24" ht="15.75" customHeight="1" x14ac:dyDescent="0.25">
      <c r="B22" s="18" t="s">
        <v>44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2:24" ht="15.75" customHeight="1" x14ac:dyDescent="0.25">
      <c r="B23" s="18" t="s">
        <v>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5" spans="2:24" ht="15.75" customHeight="1" x14ac:dyDescent="0.25">
      <c r="B25" s="16" t="s">
        <v>46</v>
      </c>
      <c r="C25" s="21">
        <f t="shared" ref="C25:G25" si="24">SUM(C26:C30)</f>
        <v>0</v>
      </c>
      <c r="D25" s="20">
        <f t="shared" si="24"/>
        <v>0</v>
      </c>
      <c r="E25" s="20">
        <f t="shared" si="24"/>
        <v>0</v>
      </c>
      <c r="F25" s="21">
        <f t="shared" si="24"/>
        <v>0</v>
      </c>
      <c r="G25" s="20">
        <f t="shared" si="24"/>
        <v>0</v>
      </c>
      <c r="H25" s="20">
        <f t="shared" ref="H25:I25" si="25">SUM(H26:H30)</f>
        <v>0</v>
      </c>
      <c r="I25" s="20">
        <f t="shared" si="25"/>
        <v>0</v>
      </c>
      <c r="J25" s="20">
        <f t="shared" ref="J25:L25" si="26">SUM(J26:J30)</f>
        <v>0</v>
      </c>
      <c r="K25" s="20">
        <f t="shared" si="26"/>
        <v>0</v>
      </c>
      <c r="L25" s="20">
        <f t="shared" si="26"/>
        <v>0</v>
      </c>
      <c r="M25" s="20">
        <f t="shared" ref="M25:R25" si="27">SUM(M26:M30)</f>
        <v>0</v>
      </c>
      <c r="N25" s="20">
        <f t="shared" si="27"/>
        <v>0</v>
      </c>
      <c r="O25" s="20">
        <f t="shared" si="27"/>
        <v>0</v>
      </c>
      <c r="P25" s="20">
        <f t="shared" si="27"/>
        <v>0</v>
      </c>
      <c r="Q25" s="20">
        <f t="shared" si="27"/>
        <v>0</v>
      </c>
      <c r="R25" s="20">
        <f t="shared" si="27"/>
        <v>0</v>
      </c>
      <c r="S25" s="20">
        <f t="shared" ref="S25:T25" si="28">SUM(S26:S30)</f>
        <v>0</v>
      </c>
      <c r="T25" s="20">
        <f t="shared" si="28"/>
        <v>0</v>
      </c>
      <c r="U25" s="20">
        <f t="shared" ref="U25:X25" si="29">SUM(U26:U30)</f>
        <v>0</v>
      </c>
      <c r="V25" s="20">
        <f t="shared" si="29"/>
        <v>0</v>
      </c>
      <c r="W25" s="20">
        <f t="shared" si="29"/>
        <v>0</v>
      </c>
      <c r="X25" s="20">
        <f t="shared" si="29"/>
        <v>0</v>
      </c>
    </row>
    <row r="26" spans="2:24" ht="15.75" customHeight="1" x14ac:dyDescent="0.25">
      <c r="B26" s="17" t="s">
        <v>47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</row>
    <row r="27" spans="2:24" ht="15.75" customHeight="1" x14ac:dyDescent="0.25">
      <c r="B27" s="18" t="s">
        <v>48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2:24" ht="15.75" customHeight="1" x14ac:dyDescent="0.25">
      <c r="B28" s="18" t="s">
        <v>49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2:24" ht="15.75" customHeight="1" x14ac:dyDescent="0.25">
      <c r="B29" s="18" t="s">
        <v>50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2:24" ht="15.75" customHeight="1" x14ac:dyDescent="0.25">
      <c r="B30" s="18" t="s">
        <v>51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2" spans="2:24" ht="15.75" customHeight="1" x14ac:dyDescent="0.25">
      <c r="B32" s="16" t="s">
        <v>52</v>
      </c>
      <c r="C32" s="20">
        <f t="shared" ref="C32:H32" si="30">SUM(C25,C19,C16,C5)</f>
        <v>0</v>
      </c>
      <c r="D32" s="20">
        <f t="shared" si="30"/>
        <v>302293.90000000002</v>
      </c>
      <c r="E32" s="20">
        <f t="shared" si="30"/>
        <v>1690213.6099999999</v>
      </c>
      <c r="F32" s="20">
        <f t="shared" si="30"/>
        <v>1795006.85</v>
      </c>
      <c r="G32" s="20">
        <f t="shared" si="30"/>
        <v>1795030.07</v>
      </c>
      <c r="H32" s="20">
        <f t="shared" si="30"/>
        <v>2235459.4</v>
      </c>
      <c r="I32" s="20">
        <f t="shared" ref="I32:L32" si="31">SUM(I25,I19,I16,I5)</f>
        <v>2268225.5237278342</v>
      </c>
      <c r="J32" s="20">
        <f t="shared" si="31"/>
        <v>2536388.6164475572</v>
      </c>
      <c r="K32" s="20">
        <f t="shared" si="31"/>
        <v>2531751.12</v>
      </c>
      <c r="L32" s="20">
        <f t="shared" si="31"/>
        <v>2536417.31</v>
      </c>
      <c r="M32" s="20">
        <f t="shared" ref="M32:R32" si="32">SUM(M25,M19,M16,M5)</f>
        <v>2536417.31</v>
      </c>
      <c r="N32" s="20">
        <f t="shared" si="32"/>
        <v>2558466.87</v>
      </c>
      <c r="O32" s="20">
        <f t="shared" si="32"/>
        <v>3816704.330000001</v>
      </c>
      <c r="P32" s="20">
        <f t="shared" si="32"/>
        <v>4745622.3599999994</v>
      </c>
      <c r="Q32" s="20">
        <f t="shared" si="32"/>
        <v>4317300.42</v>
      </c>
      <c r="R32" s="20">
        <f t="shared" si="32"/>
        <v>4367310.67</v>
      </c>
      <c r="S32" s="20">
        <f t="shared" ref="S32:T32" si="33">SUM(S25,S19,S16,S5)</f>
        <v>9827190.959999999</v>
      </c>
      <c r="T32" s="20">
        <f t="shared" si="33"/>
        <v>11057247.121418145</v>
      </c>
      <c r="U32" s="20">
        <f t="shared" ref="U32:X32" si="34">SUM(U25,U19,U16,U5)</f>
        <v>10940512.82</v>
      </c>
      <c r="V32" s="20">
        <f t="shared" si="34"/>
        <v>11664687.139999999</v>
      </c>
      <c r="W32" s="20">
        <f t="shared" si="34"/>
        <v>9549032.5115496051</v>
      </c>
      <c r="X32" s="20">
        <f t="shared" si="34"/>
        <v>13050236.289999999</v>
      </c>
    </row>
    <row r="33" spans="2:24" ht="15.75" customHeight="1" x14ac:dyDescent="0.25">
      <c r="B33" s="19"/>
    </row>
    <row r="34" spans="2:24" ht="15.75" customHeight="1" x14ac:dyDescent="0.25">
      <c r="B34" s="16" t="s">
        <v>53</v>
      </c>
      <c r="C34" s="21">
        <f t="shared" ref="C34:F34" si="35">SUM(C35:C39)</f>
        <v>365150.67441136099</v>
      </c>
      <c r="D34" s="20">
        <f t="shared" si="35"/>
        <v>424408.15999999805</v>
      </c>
      <c r="E34" s="20">
        <f t="shared" si="35"/>
        <v>377060.1500000034</v>
      </c>
      <c r="F34" s="21">
        <f t="shared" si="35"/>
        <v>216302.86999999615</v>
      </c>
      <c r="G34" s="20">
        <f>SUM(G35:G39)</f>
        <v>207476.850000006</v>
      </c>
      <c r="H34" s="20">
        <f>SUM(H35:H39)</f>
        <v>165458.40999999642</v>
      </c>
      <c r="I34" s="20">
        <f>SUM(I35:I39)</f>
        <v>108594.71000000089</v>
      </c>
      <c r="J34" s="20">
        <f t="shared" ref="J34:L34" si="36">SUM(J35:J39)</f>
        <v>0</v>
      </c>
      <c r="K34" s="20">
        <f t="shared" si="36"/>
        <v>0</v>
      </c>
      <c r="L34" s="20">
        <f t="shared" si="36"/>
        <v>0</v>
      </c>
      <c r="M34" s="20">
        <f t="shared" ref="M34:R34" si="37">SUM(M35:M39)</f>
        <v>0</v>
      </c>
      <c r="N34" s="20">
        <f t="shared" si="37"/>
        <v>0</v>
      </c>
      <c r="O34" s="20">
        <f t="shared" si="37"/>
        <v>0</v>
      </c>
      <c r="P34" s="20">
        <f t="shared" si="37"/>
        <v>0</v>
      </c>
      <c r="Q34" s="20">
        <f t="shared" si="37"/>
        <v>0</v>
      </c>
      <c r="R34" s="20">
        <f t="shared" si="37"/>
        <v>0</v>
      </c>
      <c r="S34" s="20">
        <f t="shared" ref="S34:T34" si="38">SUM(S35:S39)</f>
        <v>0</v>
      </c>
      <c r="T34" s="20">
        <f t="shared" si="38"/>
        <v>0</v>
      </c>
      <c r="U34" s="20">
        <f t="shared" ref="U34:X34" si="39">SUM(U35:U39)</f>
        <v>0</v>
      </c>
      <c r="V34" s="20">
        <f t="shared" si="39"/>
        <v>0</v>
      </c>
      <c r="W34" s="20">
        <f t="shared" si="39"/>
        <v>0</v>
      </c>
      <c r="X34" s="20">
        <f t="shared" si="39"/>
        <v>0</v>
      </c>
    </row>
    <row r="35" spans="2:24" ht="15.75" customHeight="1" x14ac:dyDescent="0.25">
      <c r="B35" s="17" t="s">
        <v>54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2:24" ht="15.75" customHeight="1" x14ac:dyDescent="0.25">
      <c r="B36" s="18" t="s">
        <v>55</v>
      </c>
      <c r="C36" s="8">
        <v>365150.67441136099</v>
      </c>
      <c r="D36" s="8">
        <v>424408.15999999805</v>
      </c>
      <c r="E36" s="8">
        <v>377060.1500000034</v>
      </c>
      <c r="F36" s="8">
        <v>216302.86999999615</v>
      </c>
      <c r="G36" s="8">
        <v>207476.850000006</v>
      </c>
      <c r="H36" s="8">
        <v>165458.40999999642</v>
      </c>
      <c r="I36" s="8">
        <v>108594.71000000089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2:24" ht="15.75" customHeight="1" x14ac:dyDescent="0.25">
      <c r="B37" s="18" t="s">
        <v>185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2:24" ht="15.75" customHeight="1" x14ac:dyDescent="0.25">
      <c r="B38" s="18" t="s">
        <v>56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2:24" ht="15.75" customHeight="1" x14ac:dyDescent="0.25">
      <c r="B39" s="18" t="s">
        <v>57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1" spans="2:24" ht="15.75" customHeight="1" x14ac:dyDescent="0.25">
      <c r="B41" s="16" t="s">
        <v>58</v>
      </c>
      <c r="C41" s="20">
        <f t="shared" ref="C41:F41" si="40">SUM(C32,C34)</f>
        <v>365150.67441136099</v>
      </c>
      <c r="D41" s="20">
        <f t="shared" si="40"/>
        <v>726702.05999999808</v>
      </c>
      <c r="E41" s="20">
        <f t="shared" si="40"/>
        <v>2067273.7600000033</v>
      </c>
      <c r="F41" s="20">
        <f t="shared" si="40"/>
        <v>2011309.7199999962</v>
      </c>
      <c r="G41" s="20">
        <f>SUM(G32,G34)</f>
        <v>2002506.920000006</v>
      </c>
      <c r="H41" s="20">
        <f>SUM(H32,H34)</f>
        <v>2400917.8099999963</v>
      </c>
      <c r="I41" s="20">
        <f>SUM(I32,I34)</f>
        <v>2376820.2337278351</v>
      </c>
      <c r="J41" s="20">
        <f t="shared" ref="J41:L41" si="41">SUM(J32,J34)</f>
        <v>2536388.6164475572</v>
      </c>
      <c r="K41" s="20">
        <f t="shared" si="41"/>
        <v>2531751.12</v>
      </c>
      <c r="L41" s="20">
        <f t="shared" si="41"/>
        <v>2536417.31</v>
      </c>
      <c r="M41" s="20">
        <f t="shared" ref="M41:R41" si="42">SUM(M32,M34)</f>
        <v>2536417.31</v>
      </c>
      <c r="N41" s="20">
        <f t="shared" si="42"/>
        <v>2558466.87</v>
      </c>
      <c r="O41" s="20">
        <f t="shared" si="42"/>
        <v>3816704.330000001</v>
      </c>
      <c r="P41" s="20">
        <f t="shared" si="42"/>
        <v>4745622.3599999994</v>
      </c>
      <c r="Q41" s="20">
        <f t="shared" si="42"/>
        <v>4317300.42</v>
      </c>
      <c r="R41" s="20">
        <f t="shared" si="42"/>
        <v>4367310.67</v>
      </c>
      <c r="S41" s="20">
        <f t="shared" ref="S41:T41" si="43">SUM(S32,S34)</f>
        <v>9827190.959999999</v>
      </c>
      <c r="T41" s="20">
        <f t="shared" si="43"/>
        <v>11057247.121418145</v>
      </c>
      <c r="U41" s="20">
        <f t="shared" ref="U41:X41" si="44">SUM(U32,U34)</f>
        <v>10940512.82</v>
      </c>
      <c r="V41" s="20">
        <f t="shared" si="44"/>
        <v>11664687.139999999</v>
      </c>
      <c r="W41" s="20">
        <f t="shared" si="44"/>
        <v>9549032.5115496051</v>
      </c>
      <c r="X41" s="20">
        <f t="shared" si="44"/>
        <v>13050236.289999999</v>
      </c>
    </row>
    <row r="42" spans="2:24" ht="15.75" customHeight="1" x14ac:dyDescent="0.25">
      <c r="B42" s="19"/>
    </row>
    <row r="43" spans="2:24" ht="15.75" customHeight="1" x14ac:dyDescent="0.25">
      <c r="B43" s="16" t="s">
        <v>59</v>
      </c>
      <c r="C43" s="21">
        <f t="shared" ref="C43:H43" si="45">SUM(C44:C45)</f>
        <v>821625.85363322636</v>
      </c>
      <c r="D43" s="20">
        <f t="shared" si="45"/>
        <v>22844.419392845015</v>
      </c>
      <c r="E43" s="20">
        <f t="shared" si="45"/>
        <v>80336.324063675944</v>
      </c>
      <c r="F43" s="21">
        <f t="shared" si="45"/>
        <v>156459.36809189216</v>
      </c>
      <c r="G43" s="20">
        <f t="shared" si="45"/>
        <v>191859.34062440999</v>
      </c>
      <c r="H43" s="20">
        <f t="shared" si="45"/>
        <v>33093.135582999726</v>
      </c>
      <c r="I43" s="20">
        <f t="shared" ref="I43:L43" si="46">SUM(I44:I45)</f>
        <v>32525.632431199352</v>
      </c>
      <c r="J43" s="20">
        <f t="shared" si="46"/>
        <v>29020.032617891411</v>
      </c>
      <c r="K43" s="20">
        <f t="shared" si="46"/>
        <v>31978.038870687073</v>
      </c>
      <c r="L43" s="20">
        <f t="shared" si="46"/>
        <v>24418.019229887403</v>
      </c>
      <c r="M43" s="20">
        <f t="shared" ref="M43:R43" si="47">SUM(M44:M45)</f>
        <v>26542.237558765795</v>
      </c>
      <c r="N43" s="20">
        <f t="shared" si="47"/>
        <v>22815.064307809618</v>
      </c>
      <c r="O43" s="20">
        <f t="shared" si="47"/>
        <v>172882.76741495926</v>
      </c>
      <c r="P43" s="20">
        <f t="shared" si="47"/>
        <v>212675.27405266085</v>
      </c>
      <c r="Q43" s="20">
        <f t="shared" si="47"/>
        <v>158400.75206099046</v>
      </c>
      <c r="R43" s="20">
        <f t="shared" si="47"/>
        <v>306395.9544676675</v>
      </c>
      <c r="S43" s="20">
        <f t="shared" ref="S43:T43" si="48">SUM(S44:S45)</f>
        <v>527166.41575000272</v>
      </c>
      <c r="T43" s="20">
        <f t="shared" si="48"/>
        <v>205092.16374999846</v>
      </c>
      <c r="U43" s="20">
        <f t="shared" ref="U43:X43" si="49">SUM(U44:U45)</f>
        <v>128471.75575000401</v>
      </c>
      <c r="V43" s="20">
        <f t="shared" si="49"/>
        <v>56300.448499997598</v>
      </c>
      <c r="W43" s="20">
        <f t="shared" si="49"/>
        <v>27893.449847489268</v>
      </c>
      <c r="X43" s="20">
        <f t="shared" si="49"/>
        <v>42244.65040788427</v>
      </c>
    </row>
    <row r="44" spans="2:24" ht="15.75" customHeight="1" x14ac:dyDescent="0.25">
      <c r="B44" s="17" t="s">
        <v>60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9104.9799999967217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</row>
    <row r="45" spans="2:24" ht="15.75" customHeight="1" x14ac:dyDescent="0.25">
      <c r="B45" s="18" t="s">
        <v>61</v>
      </c>
      <c r="C45" s="8">
        <v>821625.85363322636</v>
      </c>
      <c r="D45" s="8">
        <v>22844.419392845015</v>
      </c>
      <c r="E45" s="8">
        <v>80336.324063675944</v>
      </c>
      <c r="F45" s="8">
        <v>156459.36809189216</v>
      </c>
      <c r="G45" s="8">
        <v>191859.34062440999</v>
      </c>
      <c r="H45" s="8">
        <v>33093.135582999726</v>
      </c>
      <c r="I45" s="8">
        <v>23420.65243120263</v>
      </c>
      <c r="J45" s="8">
        <v>29020.032617891411</v>
      </c>
      <c r="K45" s="8">
        <f>27311.8488706876+4666.18999999947</f>
        <v>31978.038870687073</v>
      </c>
      <c r="L45" s="8">
        <v>24418.019229887403</v>
      </c>
      <c r="M45" s="8">
        <v>26542.237558765795</v>
      </c>
      <c r="N45" s="8">
        <v>22815.064307809618</v>
      </c>
      <c r="O45" s="8">
        <f>171371.287224474+1511.48019048525</f>
        <v>172882.76741495926</v>
      </c>
      <c r="P45" s="8">
        <v>212675.27405266085</v>
      </c>
      <c r="Q45" s="8">
        <f>153400.75206099+5000.00000000046</f>
        <v>158400.75206099046</v>
      </c>
      <c r="R45" s="8">
        <v>306395.9544676675</v>
      </c>
      <c r="S45" s="8">
        <v>527166.41575000272</v>
      </c>
      <c r="T45" s="8">
        <v>205092.16374999846</v>
      </c>
      <c r="U45" s="8">
        <f>150581.515750004-22109.76</f>
        <v>128471.75575000401</v>
      </c>
      <c r="V45" s="8">
        <v>56300.448499997598</v>
      </c>
      <c r="W45" s="8">
        <v>27893.449847489268</v>
      </c>
      <c r="X45" s="8">
        <v>42244.65040788427</v>
      </c>
    </row>
    <row r="47" spans="2:24" ht="15.75" customHeight="1" x14ac:dyDescent="0.25">
      <c r="B47" s="16" t="s">
        <v>62</v>
      </c>
      <c r="C47" s="21">
        <f>SUM(C48:C50)</f>
        <v>-310.69999999999993</v>
      </c>
      <c r="D47" s="20">
        <f t="shared" ref="D47:F47" si="50">SUM(D48:D50)</f>
        <v>-258518.05</v>
      </c>
      <c r="E47" s="20">
        <f t="shared" si="50"/>
        <v>-291795.39</v>
      </c>
      <c r="F47" s="21">
        <f t="shared" si="50"/>
        <v>416981.78999999992</v>
      </c>
      <c r="G47" s="20">
        <f>SUM(G48:G50)</f>
        <v>-54622.58</v>
      </c>
      <c r="H47" s="20">
        <f>SUM(H48:H50)</f>
        <v>-39960.770000000004</v>
      </c>
      <c r="I47" s="20">
        <f>SUM(I48:I50)</f>
        <v>-47817.119999999988</v>
      </c>
      <c r="J47" s="20">
        <f t="shared" ref="J47:L47" si="51">SUM(J48:J50)</f>
        <v>-90456.196447557639</v>
      </c>
      <c r="K47" s="20">
        <f t="shared" si="51"/>
        <v>-67480.099999999991</v>
      </c>
      <c r="L47" s="20">
        <f t="shared" si="51"/>
        <v>-76873.009999999995</v>
      </c>
      <c r="M47" s="20">
        <f t="shared" ref="M47:R47" si="52">SUM(M48:M50)</f>
        <v>-80418.289999999804</v>
      </c>
      <c r="N47" s="20">
        <f t="shared" si="52"/>
        <v>-88626.540000000008</v>
      </c>
      <c r="O47" s="20">
        <f t="shared" si="52"/>
        <v>-188808.84</v>
      </c>
      <c r="P47" s="20">
        <f t="shared" si="52"/>
        <v>-503744.74000000005</v>
      </c>
      <c r="Q47" s="20">
        <f t="shared" si="52"/>
        <v>-632799.8600000001</v>
      </c>
      <c r="R47" s="20">
        <f t="shared" si="52"/>
        <v>-590368.30000000005</v>
      </c>
      <c r="S47" s="20">
        <f t="shared" ref="S47:T47" si="53">SUM(S48:S50)</f>
        <v>-548100.54</v>
      </c>
      <c r="T47" s="20">
        <f t="shared" si="53"/>
        <v>-1331088.8999999999</v>
      </c>
      <c r="U47" s="20">
        <f t="shared" ref="U47:X47" si="54">SUM(U48:U50)</f>
        <v>-1306183.54</v>
      </c>
      <c r="V47" s="20">
        <f t="shared" si="54"/>
        <v>-1517900.49</v>
      </c>
      <c r="W47" s="20">
        <f t="shared" si="54"/>
        <v>-1564750.8467046099</v>
      </c>
      <c r="X47" s="20">
        <f t="shared" si="54"/>
        <v>-1561872.2032953901</v>
      </c>
    </row>
    <row r="48" spans="2:24" ht="15.75" customHeight="1" x14ac:dyDescent="0.25">
      <c r="B48" s="17" t="s">
        <v>63</v>
      </c>
      <c r="C48" s="14">
        <v>0</v>
      </c>
      <c r="D48" s="14">
        <v>-200000</v>
      </c>
      <c r="E48" s="14">
        <v>-244391.88</v>
      </c>
      <c r="F48" s="14">
        <v>466506.14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-367312.47</v>
      </c>
      <c r="Q48" s="14">
        <v>-451829.66</v>
      </c>
      <c r="R48" s="14">
        <v>-461837.57</v>
      </c>
      <c r="S48" s="14">
        <v>-451928.3</v>
      </c>
      <c r="T48" s="14">
        <v>-1143602.9099999999</v>
      </c>
      <c r="U48" s="14">
        <v>-1096249.53</v>
      </c>
      <c r="V48" s="14">
        <v>-1246309.19</v>
      </c>
      <c r="W48" s="14">
        <v>-1298490.58</v>
      </c>
      <c r="X48" s="14">
        <v>-997060.48</v>
      </c>
    </row>
    <row r="49" spans="2:24" ht="15.75" customHeight="1" x14ac:dyDescent="0.25">
      <c r="B49" s="18" t="s">
        <v>64</v>
      </c>
      <c r="C49" s="8">
        <v>0</v>
      </c>
      <c r="D49" s="8">
        <v>-33232.5</v>
      </c>
      <c r="E49" s="8">
        <v>-36485.78</v>
      </c>
      <c r="F49" s="8">
        <v>-38293.770000000004</v>
      </c>
      <c r="G49" s="8">
        <v>-31718.04</v>
      </c>
      <c r="H49" s="8">
        <v>-36698.410000000003</v>
      </c>
      <c r="I49" s="8">
        <v>-33369.4</v>
      </c>
      <c r="J49" s="8">
        <v>-33184.28</v>
      </c>
      <c r="K49" s="8">
        <v>-38938.589999999997</v>
      </c>
      <c r="L49" s="8">
        <v>-35146.339999999997</v>
      </c>
      <c r="M49" s="8">
        <v>-33955.699999999997</v>
      </c>
      <c r="N49" s="8">
        <v>-36566.699999999997</v>
      </c>
      <c r="O49" s="8">
        <v>-42034.63</v>
      </c>
      <c r="P49" s="8">
        <v>-68191.77</v>
      </c>
      <c r="Q49" s="8">
        <v>-115480.79</v>
      </c>
      <c r="R49" s="8">
        <v>-75312.759999999995</v>
      </c>
      <c r="S49" s="8">
        <v>-60619.79</v>
      </c>
      <c r="T49" s="8">
        <v>-98927.19</v>
      </c>
      <c r="U49" s="8">
        <v>-91568.42</v>
      </c>
      <c r="V49" s="8">
        <v>-154892.51999999999</v>
      </c>
      <c r="W49" s="8">
        <v>-162118.9</v>
      </c>
      <c r="X49" s="8">
        <v>-126307.86</v>
      </c>
    </row>
    <row r="50" spans="2:24" ht="15.75" customHeight="1" x14ac:dyDescent="0.25">
      <c r="B50" s="18" t="s">
        <v>65</v>
      </c>
      <c r="C50" s="8">
        <v>-310.69999999999993</v>
      </c>
      <c r="D50" s="8">
        <f>-25295.25+9.70000000001164</f>
        <v>-25285.549999999988</v>
      </c>
      <c r="E50" s="8">
        <v>-10917.729999999996</v>
      </c>
      <c r="F50" s="8">
        <f>-11249.98+19.3999999999068</f>
        <v>-11230.580000000093</v>
      </c>
      <c r="G50" s="8">
        <v>-22904.54</v>
      </c>
      <c r="H50" s="8">
        <v>-3262.3600000000006</v>
      </c>
      <c r="I50" s="8">
        <v>-14447.719999999987</v>
      </c>
      <c r="J50" s="8">
        <f>-57300.61+28.6935524423606</f>
        <v>-57271.91644755764</v>
      </c>
      <c r="K50" s="8">
        <v>-28541.509999999995</v>
      </c>
      <c r="L50" s="8">
        <v>-41726.67</v>
      </c>
      <c r="M50" s="8">
        <v>-46462.589999999807</v>
      </c>
      <c r="N50" s="8">
        <v>-52059.840000000011</v>
      </c>
      <c r="O50" s="8">
        <v>-146774.21</v>
      </c>
      <c r="P50" s="8">
        <v>-68240.500000000058</v>
      </c>
      <c r="Q50" s="8">
        <v>-65489.410000000149</v>
      </c>
      <c r="R50" s="8">
        <v>-53217.970000000088</v>
      </c>
      <c r="S50" s="8">
        <v>-35552.45000000007</v>
      </c>
      <c r="T50" s="8">
        <v>-88558.800000000047</v>
      </c>
      <c r="U50" s="8">
        <v>-118365.59000000008</v>
      </c>
      <c r="V50" s="8">
        <v>-116698.78</v>
      </c>
      <c r="W50" s="8">
        <v>-104141.36670461</v>
      </c>
      <c r="X50" s="8">
        <v>-438503.86329538998</v>
      </c>
    </row>
    <row r="51" spans="2:24" ht="20.100000000000001" customHeight="1" x14ac:dyDescent="0.25">
      <c r="B51" s="69" t="s">
        <v>135</v>
      </c>
      <c r="C51" s="39"/>
      <c r="D51" s="39"/>
      <c r="E51" s="39"/>
      <c r="F51" s="39"/>
      <c r="V51" s="42"/>
      <c r="W51" s="42"/>
      <c r="X51" s="42"/>
    </row>
    <row r="52" spans="2:24" ht="20.100000000000001" customHeight="1" x14ac:dyDescent="0.25">
      <c r="B52" s="70"/>
      <c r="C52" s="41"/>
      <c r="D52" s="41"/>
      <c r="E52" s="41"/>
      <c r="F52" s="40"/>
    </row>
    <row r="53" spans="2:24" ht="20.100000000000001" customHeight="1" x14ac:dyDescent="0.25">
      <c r="B53" s="70"/>
      <c r="C53" s="41"/>
      <c r="D53" s="41"/>
      <c r="E53" s="41"/>
      <c r="F53" s="40"/>
    </row>
    <row r="55" spans="2:24" ht="15.75" customHeight="1" x14ac:dyDescent="0.25">
      <c r="B55" s="23" t="s">
        <v>66</v>
      </c>
      <c r="C55" s="22">
        <f t="shared" ref="C55:H55" si="55">SUM(C32,C34,C43,C48:C50)</f>
        <v>1186465.8280445875</v>
      </c>
      <c r="D55" s="20">
        <f t="shared" si="55"/>
        <v>491028.4293928431</v>
      </c>
      <c r="E55" s="20">
        <f t="shared" si="55"/>
        <v>1855814.6940636791</v>
      </c>
      <c r="F55" s="21">
        <f t="shared" si="55"/>
        <v>2584750.8780918885</v>
      </c>
      <c r="G55" s="20">
        <f t="shared" si="55"/>
        <v>2139743.6806244161</v>
      </c>
      <c r="H55" s="20">
        <f t="shared" si="55"/>
        <v>2394050.1755829961</v>
      </c>
      <c r="I55" s="20">
        <f t="shared" ref="I55:L55" si="56">SUM(I32,I34,I43,I48:I50)</f>
        <v>2361528.7461590343</v>
      </c>
      <c r="J55" s="20">
        <f>SUM(J32,J34,J43,J48:J50)</f>
        <v>2474952.4526178911</v>
      </c>
      <c r="K55" s="20">
        <f t="shared" si="56"/>
        <v>2496249.0588706876</v>
      </c>
      <c r="L55" s="20">
        <f t="shared" si="56"/>
        <v>2483962.3192298878</v>
      </c>
      <c r="M55" s="20">
        <f t="shared" ref="M55:R55" si="57">SUM(M32,M34,M43,M48:M50)</f>
        <v>2482541.2575587658</v>
      </c>
      <c r="N55" s="20">
        <f t="shared" si="57"/>
        <v>2492655.3943078099</v>
      </c>
      <c r="O55" s="20">
        <f t="shared" si="57"/>
        <v>3800778.2574149603</v>
      </c>
      <c r="P55" s="20">
        <f t="shared" si="57"/>
        <v>4454552.894052661</v>
      </c>
      <c r="Q55" s="20">
        <f t="shared" si="57"/>
        <v>3842901.3120609904</v>
      </c>
      <c r="R55" s="20">
        <f t="shared" si="57"/>
        <v>4083338.3244676669</v>
      </c>
      <c r="S55" s="20">
        <f t="shared" ref="S55:T55" si="58">SUM(S32,S34,S43,S48:S50)</f>
        <v>9806256.8357500024</v>
      </c>
      <c r="T55" s="20">
        <f t="shared" si="58"/>
        <v>9931250.3851681426</v>
      </c>
      <c r="U55" s="20">
        <f t="shared" ref="U55:X55" si="59">SUM(U32,U34,U43,U48:U50)</f>
        <v>9762801.0357500054</v>
      </c>
      <c r="V55" s="20">
        <f t="shared" si="59"/>
        <v>10203087.098499998</v>
      </c>
      <c r="W55" s="20">
        <f t="shared" si="59"/>
        <v>8012175.114692484</v>
      </c>
      <c r="X55" s="20">
        <f t="shared" si="59"/>
        <v>11530608.737112494</v>
      </c>
    </row>
    <row r="56" spans="2:24" ht="15.75" customHeight="1" x14ac:dyDescent="0.25">
      <c r="B56" s="18" t="s">
        <v>67</v>
      </c>
      <c r="C56" s="14">
        <v>0</v>
      </c>
      <c r="D56" s="8">
        <v>0</v>
      </c>
      <c r="E56" s="8">
        <v>0</v>
      </c>
      <c r="F56" s="14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8" spans="2:24" ht="15.75" customHeight="1" x14ac:dyDescent="0.25">
      <c r="B58" s="16" t="s">
        <v>68</v>
      </c>
      <c r="C58" s="21">
        <f t="shared" ref="C58:H58" si="60">SUM(C55:C56)</f>
        <v>1186465.8280445875</v>
      </c>
      <c r="D58" s="20">
        <f t="shared" si="60"/>
        <v>491028.4293928431</v>
      </c>
      <c r="E58" s="20">
        <f t="shared" si="60"/>
        <v>1855814.6940636791</v>
      </c>
      <c r="F58" s="21">
        <f t="shared" si="60"/>
        <v>2584750.8780918885</v>
      </c>
      <c r="G58" s="20">
        <f t="shared" si="60"/>
        <v>2139743.6806244161</v>
      </c>
      <c r="H58" s="20">
        <f t="shared" si="60"/>
        <v>2394050.1755829961</v>
      </c>
      <c r="I58" s="20">
        <f t="shared" ref="I58:L58" si="61">SUM(I55:I56)</f>
        <v>2361528.7461590343</v>
      </c>
      <c r="J58" s="20">
        <f t="shared" si="61"/>
        <v>2474952.4526178911</v>
      </c>
      <c r="K58" s="20">
        <f t="shared" si="61"/>
        <v>2496249.0588706876</v>
      </c>
      <c r="L58" s="20">
        <f t="shared" si="61"/>
        <v>2483962.3192298878</v>
      </c>
      <c r="M58" s="20">
        <f t="shared" ref="M58:R58" si="62">SUM(M55:M56)</f>
        <v>2482541.2575587658</v>
      </c>
      <c r="N58" s="20">
        <f t="shared" si="62"/>
        <v>2492655.3943078099</v>
      </c>
      <c r="O58" s="20">
        <f t="shared" si="62"/>
        <v>3800778.2574149603</v>
      </c>
      <c r="P58" s="20">
        <f t="shared" si="62"/>
        <v>4454552.894052661</v>
      </c>
      <c r="Q58" s="20">
        <f t="shared" si="62"/>
        <v>3842901.3120609904</v>
      </c>
      <c r="R58" s="20">
        <f t="shared" si="62"/>
        <v>4083338.3244676669</v>
      </c>
      <c r="S58" s="20">
        <f t="shared" ref="S58:T58" si="63">SUM(S55:S56)</f>
        <v>9806256.8357500024</v>
      </c>
      <c r="T58" s="20">
        <f t="shared" si="63"/>
        <v>9931250.3851681426</v>
      </c>
      <c r="U58" s="20">
        <f t="shared" ref="U58:X58" si="64">SUM(U55:U56)</f>
        <v>9762801.0357500054</v>
      </c>
      <c r="V58" s="20">
        <f t="shared" si="64"/>
        <v>10203087.098499998</v>
      </c>
      <c r="W58" s="20">
        <f t="shared" si="64"/>
        <v>8012175.114692484</v>
      </c>
      <c r="X58" s="20">
        <f t="shared" si="64"/>
        <v>11530608.737112494</v>
      </c>
    </row>
    <row r="59" spans="2:24" ht="15.75" customHeight="1" x14ac:dyDescent="0.25">
      <c r="B59" s="17" t="s">
        <v>69</v>
      </c>
      <c r="C59" s="24">
        <f t="shared" ref="C59:H59" si="65">C58/C60</f>
        <v>0.32406916625775711</v>
      </c>
      <c r="D59" s="24">
        <f t="shared" si="65"/>
        <v>0.13411863195794849</v>
      </c>
      <c r="E59" s="24">
        <f t="shared" si="65"/>
        <v>0.5068939251502067</v>
      </c>
      <c r="F59" s="24">
        <f t="shared" si="65"/>
        <v>0.70599425811340388</v>
      </c>
      <c r="G59" s="24">
        <f t="shared" si="65"/>
        <v>0.58444578359925603</v>
      </c>
      <c r="H59" s="24">
        <f t="shared" si="65"/>
        <v>0.65390660737281892</v>
      </c>
      <c r="I59" s="24">
        <f t="shared" ref="I59:L59" si="66">I58/I60</f>
        <v>0.6450237619761644</v>
      </c>
      <c r="J59" s="24">
        <f t="shared" si="66"/>
        <v>0.67600411144528116</v>
      </c>
      <c r="K59" s="24">
        <f t="shared" si="66"/>
        <v>0.68182102860322236</v>
      </c>
      <c r="L59" s="24">
        <f t="shared" si="66"/>
        <v>0.67846505038850846</v>
      </c>
      <c r="M59" s="24">
        <f t="shared" ref="M59:R59" si="67">M58/M60</f>
        <v>0.67807690413087851</v>
      </c>
      <c r="N59" s="24">
        <f t="shared" si="67"/>
        <v>0.68083946145550167</v>
      </c>
      <c r="O59" s="24">
        <f t="shared" si="67"/>
        <v>0.56373101912005963</v>
      </c>
      <c r="P59" s="24">
        <f t="shared" si="67"/>
        <v>0.66069880235434997</v>
      </c>
      <c r="Q59" s="24">
        <f t="shared" si="67"/>
        <v>0.56997870601884948</v>
      </c>
      <c r="R59" s="24">
        <f t="shared" si="67"/>
        <v>0.60564029763466365</v>
      </c>
      <c r="S59" s="24">
        <f t="shared" ref="S59:T59" si="68">S58/S60</f>
        <v>0.64221305536286921</v>
      </c>
      <c r="T59" s="24">
        <f t="shared" si="68"/>
        <v>0.6503988994231461</v>
      </c>
      <c r="U59" s="24">
        <f t="shared" ref="U59:X59" si="69">U58/U60</f>
        <v>0.63936712928131956</v>
      </c>
      <c r="V59" s="24">
        <f t="shared" si="69"/>
        <v>0.66820152168286573</v>
      </c>
      <c r="W59" s="24">
        <f t="shared" si="69"/>
        <v>0.52471840649230428</v>
      </c>
      <c r="X59" s="24">
        <f t="shared" si="69"/>
        <v>0.75514108913184019</v>
      </c>
    </row>
    <row r="60" spans="2:24" ht="15.75" customHeight="1" x14ac:dyDescent="0.25">
      <c r="B60" s="18" t="s">
        <v>70</v>
      </c>
      <c r="C60" s="8">
        <v>3661150</v>
      </c>
      <c r="D60" s="8">
        <v>3661150</v>
      </c>
      <c r="E60" s="8">
        <v>3661150</v>
      </c>
      <c r="F60" s="8">
        <v>3661150</v>
      </c>
      <c r="G60" s="8">
        <v>3661150</v>
      </c>
      <c r="H60" s="8">
        <v>3661150</v>
      </c>
      <c r="I60" s="8">
        <v>3661150</v>
      </c>
      <c r="J60" s="8">
        <v>3661150</v>
      </c>
      <c r="K60" s="8">
        <v>3661150</v>
      </c>
      <c r="L60" s="8">
        <v>3661150</v>
      </c>
      <c r="M60" s="8">
        <v>3661150</v>
      </c>
      <c r="N60" s="8">
        <v>3661150</v>
      </c>
      <c r="O60" s="8">
        <v>6742184</v>
      </c>
      <c r="P60" s="8">
        <v>6742184</v>
      </c>
      <c r="Q60" s="8">
        <v>6742184</v>
      </c>
      <c r="R60" s="8">
        <v>6742184</v>
      </c>
      <c r="S60" s="8">
        <v>15269476</v>
      </c>
      <c r="T60" s="8">
        <v>15269476</v>
      </c>
      <c r="U60" s="8">
        <v>15269476</v>
      </c>
      <c r="V60" s="8">
        <v>15269476</v>
      </c>
      <c r="W60" s="8">
        <v>15269476</v>
      </c>
      <c r="X60" s="8">
        <v>15269476</v>
      </c>
    </row>
    <row r="61" spans="2:24" ht="15.75" customHeight="1" x14ac:dyDescent="0.25">
      <c r="B61" s="18" t="s">
        <v>71</v>
      </c>
      <c r="C61" s="25">
        <v>0.32</v>
      </c>
      <c r="D61" s="25">
        <v>0.13411600000000001</v>
      </c>
      <c r="E61" s="25">
        <v>0.5</v>
      </c>
      <c r="F61" s="25">
        <v>0.7</v>
      </c>
      <c r="G61" s="25">
        <v>0.6</v>
      </c>
      <c r="H61" s="25">
        <v>0.64500000000000002</v>
      </c>
      <c r="I61" s="25">
        <v>0.64800000000000002</v>
      </c>
      <c r="J61" s="25">
        <v>0.67</v>
      </c>
      <c r="K61" s="25">
        <v>0.67</v>
      </c>
      <c r="L61" s="25">
        <v>0.68</v>
      </c>
      <c r="M61" s="25">
        <v>0.68</v>
      </c>
      <c r="N61" s="25">
        <v>0.61</v>
      </c>
      <c r="O61" s="25">
        <v>0.61</v>
      </c>
      <c r="P61" s="25">
        <v>0.61</v>
      </c>
      <c r="Q61" s="25">
        <v>0.61</v>
      </c>
      <c r="R61" s="25">
        <v>0.61</v>
      </c>
      <c r="S61" s="25">
        <v>0.64</v>
      </c>
      <c r="T61" s="25">
        <v>0.64</v>
      </c>
      <c r="U61" s="25">
        <v>0.64</v>
      </c>
      <c r="V61" s="25">
        <v>0.64</v>
      </c>
      <c r="W61" s="25">
        <v>0.64</v>
      </c>
      <c r="X61" s="25">
        <v>0.57999999999999996</v>
      </c>
    </row>
    <row r="62" spans="2:24" ht="15.75" customHeight="1" x14ac:dyDescent="0.25">
      <c r="B62" s="18" t="s">
        <v>72</v>
      </c>
      <c r="C62" s="8">
        <f t="shared" ref="C62:H62" si="70">C61*C60</f>
        <v>1171568</v>
      </c>
      <c r="D62" s="8">
        <f t="shared" si="70"/>
        <v>491018.79340000002</v>
      </c>
      <c r="E62" s="8">
        <f t="shared" si="70"/>
        <v>1830575</v>
      </c>
      <c r="F62" s="8">
        <f t="shared" si="70"/>
        <v>2562805</v>
      </c>
      <c r="G62" s="8">
        <f t="shared" si="70"/>
        <v>2196690</v>
      </c>
      <c r="H62" s="8">
        <f t="shared" si="70"/>
        <v>2361441.75</v>
      </c>
      <c r="I62" s="8">
        <f t="shared" ref="I62:L62" si="71">I61*I60</f>
        <v>2372425.2000000002</v>
      </c>
      <c r="J62" s="8">
        <f t="shared" si="71"/>
        <v>2452970.5</v>
      </c>
      <c r="K62" s="8">
        <f t="shared" si="71"/>
        <v>2452970.5</v>
      </c>
      <c r="L62" s="8">
        <f t="shared" si="71"/>
        <v>2489582</v>
      </c>
      <c r="M62" s="8">
        <f t="shared" ref="M62:R62" si="72">M61*M60</f>
        <v>2489582</v>
      </c>
      <c r="N62" s="8">
        <f t="shared" si="72"/>
        <v>2233301.5</v>
      </c>
      <c r="O62" s="8">
        <f t="shared" si="72"/>
        <v>4112732.2399999998</v>
      </c>
      <c r="P62" s="8">
        <f t="shared" si="72"/>
        <v>4112732.2399999998</v>
      </c>
      <c r="Q62" s="8">
        <f t="shared" si="72"/>
        <v>4112732.2399999998</v>
      </c>
      <c r="R62" s="8">
        <f t="shared" si="72"/>
        <v>4112732.2399999998</v>
      </c>
      <c r="S62" s="8">
        <f t="shared" ref="S62:T62" si="73">S61*S60</f>
        <v>9772464.6400000006</v>
      </c>
      <c r="T62" s="8">
        <f t="shared" si="73"/>
        <v>9772464.6400000006</v>
      </c>
      <c r="U62" s="8">
        <f t="shared" ref="U62:X62" si="74">U61*U60</f>
        <v>9772464.6400000006</v>
      </c>
      <c r="V62" s="8">
        <f t="shared" si="74"/>
        <v>9772464.6400000006</v>
      </c>
      <c r="W62" s="8">
        <f t="shared" si="74"/>
        <v>9772464.6400000006</v>
      </c>
      <c r="X62" s="8">
        <f t="shared" si="74"/>
        <v>8856296.0800000001</v>
      </c>
    </row>
    <row r="64" spans="2:24" ht="15.75" customHeight="1" x14ac:dyDescent="0.25">
      <c r="B64" s="16" t="s">
        <v>73</v>
      </c>
      <c r="C64" s="21">
        <f t="shared" ref="C64:H64" si="75">C58-C16-C38-C10-C39+C65</f>
        <v>1186465.8280445875</v>
      </c>
      <c r="D64" s="20">
        <f t="shared" si="75"/>
        <v>491028.4293928431</v>
      </c>
      <c r="E64" s="20">
        <f t="shared" si="75"/>
        <v>1855814.6940636791</v>
      </c>
      <c r="F64" s="21">
        <f t="shared" si="75"/>
        <v>2584750.8780918885</v>
      </c>
      <c r="G64" s="20">
        <f t="shared" si="75"/>
        <v>2139743.6806244161</v>
      </c>
      <c r="H64" s="20">
        <f t="shared" si="75"/>
        <v>2394050.1755829961</v>
      </c>
      <c r="I64" s="20">
        <f t="shared" ref="I64:L64" si="76">I58-I16-I38-I10-I39+I65</f>
        <v>2361528.7461590343</v>
      </c>
      <c r="J64" s="20">
        <f t="shared" si="76"/>
        <v>2474952.4526178911</v>
      </c>
      <c r="K64" s="20">
        <f t="shared" si="76"/>
        <v>2496249.0588706876</v>
      </c>
      <c r="L64" s="20">
        <f t="shared" si="76"/>
        <v>2483962.3192298878</v>
      </c>
      <c r="M64" s="20">
        <f t="shared" ref="M64:R64" si="77">M58-M16-M38-M10-M39+M65</f>
        <v>2482541.2575587658</v>
      </c>
      <c r="N64" s="20">
        <f t="shared" si="77"/>
        <v>2492655.3943078099</v>
      </c>
      <c r="O64" s="20">
        <f t="shared" si="77"/>
        <v>3800778.2574149603</v>
      </c>
      <c r="P64" s="20">
        <f t="shared" si="77"/>
        <v>4454552.894052661</v>
      </c>
      <c r="Q64" s="20">
        <f t="shared" si="77"/>
        <v>3842901.3120609904</v>
      </c>
      <c r="R64" s="20">
        <f t="shared" si="77"/>
        <v>4083338.3244676669</v>
      </c>
      <c r="S64" s="20">
        <f t="shared" ref="S64:T64" si="78">S58-S16-S38-S10-S39+S65</f>
        <v>9806256.8357500024</v>
      </c>
      <c r="T64" s="20">
        <f t="shared" si="78"/>
        <v>9931250.3851681426</v>
      </c>
      <c r="U64" s="20">
        <f t="shared" ref="U64:X64" si="79">U58-U16-U38-U10-U39+U65</f>
        <v>9762801.0357500054</v>
      </c>
      <c r="V64" s="20">
        <f t="shared" si="79"/>
        <v>10203087.098499998</v>
      </c>
      <c r="W64" s="20">
        <f t="shared" si="79"/>
        <v>8012175.114692484</v>
      </c>
      <c r="X64" s="20">
        <f t="shared" si="79"/>
        <v>11530608.737112494</v>
      </c>
    </row>
    <row r="65" spans="2:24" ht="15.75" customHeight="1" x14ac:dyDescent="0.25">
      <c r="B65" s="17" t="s">
        <v>74</v>
      </c>
      <c r="C65" s="24">
        <f t="shared" ref="C65:H65" si="80">-SUM(C7,C11)</f>
        <v>0</v>
      </c>
      <c r="D65" s="24">
        <f t="shared" si="80"/>
        <v>0</v>
      </c>
      <c r="E65" s="24">
        <f t="shared" si="80"/>
        <v>0</v>
      </c>
      <c r="F65" s="24">
        <f t="shared" si="80"/>
        <v>0</v>
      </c>
      <c r="G65" s="24">
        <f t="shared" si="80"/>
        <v>0</v>
      </c>
      <c r="H65" s="24">
        <f t="shared" si="80"/>
        <v>0</v>
      </c>
      <c r="I65" s="24">
        <f t="shared" ref="I65:L65" si="81">-SUM(I7,I11)</f>
        <v>0</v>
      </c>
      <c r="J65" s="24">
        <f t="shared" si="81"/>
        <v>0</v>
      </c>
      <c r="K65" s="24">
        <f t="shared" si="81"/>
        <v>0</v>
      </c>
      <c r="L65" s="24">
        <f t="shared" si="81"/>
        <v>0</v>
      </c>
      <c r="M65" s="24">
        <f t="shared" ref="M65:R65" si="82">-SUM(M7,M11)</f>
        <v>0</v>
      </c>
      <c r="N65" s="24">
        <f t="shared" si="82"/>
        <v>0</v>
      </c>
      <c r="O65" s="24">
        <f t="shared" si="82"/>
        <v>0</v>
      </c>
      <c r="P65" s="24">
        <f t="shared" si="82"/>
        <v>0</v>
      </c>
      <c r="Q65" s="24">
        <f t="shared" si="82"/>
        <v>0</v>
      </c>
      <c r="R65" s="24">
        <f t="shared" si="82"/>
        <v>0</v>
      </c>
      <c r="S65" s="24">
        <f t="shared" ref="S65:T65" si="83">-SUM(S7,S11)</f>
        <v>0</v>
      </c>
      <c r="T65" s="24">
        <f t="shared" si="83"/>
        <v>0</v>
      </c>
      <c r="U65" s="24">
        <f t="shared" ref="U65:X65" si="84">-SUM(U7,U11)</f>
        <v>0</v>
      </c>
      <c r="V65" s="24">
        <f t="shared" si="84"/>
        <v>0</v>
      </c>
      <c r="W65" s="24">
        <f t="shared" si="84"/>
        <v>0</v>
      </c>
      <c r="X65" s="24">
        <f t="shared" si="84"/>
        <v>0</v>
      </c>
    </row>
    <row r="66" spans="2:24" ht="15.75" customHeight="1" x14ac:dyDescent="0.25">
      <c r="B66" s="18" t="s">
        <v>75</v>
      </c>
      <c r="C66" s="26">
        <f>IFERROR(C64/SUM(C6,C7),0)</f>
        <v>0</v>
      </c>
      <c r="D66" s="26">
        <f t="shared" ref="D66:I66" si="85">D64/SUM(D6,D7)</f>
        <v>1.6243411772213832</v>
      </c>
      <c r="E66" s="26">
        <f t="shared" si="85"/>
        <v>1.0979764232662161</v>
      </c>
      <c r="F66" s="26">
        <f t="shared" si="85"/>
        <v>1.4399671388952573</v>
      </c>
      <c r="G66" s="26">
        <f t="shared" si="85"/>
        <v>1.1920377916702065</v>
      </c>
      <c r="H66" s="26">
        <f t="shared" si="85"/>
        <v>1.0709432591721397</v>
      </c>
      <c r="I66" s="26">
        <f t="shared" si="85"/>
        <v>1.0411348966207981</v>
      </c>
      <c r="J66" s="26">
        <f t="shared" ref="J66:L66" si="86">J64/SUM(J6,J7)</f>
        <v>0.97577809511079061</v>
      </c>
      <c r="K66" s="26">
        <f t="shared" si="86"/>
        <v>0.98597727049516914</v>
      </c>
      <c r="L66" s="26">
        <f t="shared" si="86"/>
        <v>0.9793192584819127</v>
      </c>
      <c r="M66" s="26">
        <f>M64/SUM(M6,M7)</f>
        <v>0.97875899512717246</v>
      </c>
      <c r="N66" s="26">
        <f t="shared" ref="N66:R66" si="87">N64/SUM(N6,N7)</f>
        <v>0.97427698733804979</v>
      </c>
      <c r="O66" s="26">
        <f t="shared" si="87"/>
        <v>0.99582727106738167</v>
      </c>
      <c r="P66" s="26">
        <f t="shared" si="87"/>
        <v>0.93866569148006573</v>
      </c>
      <c r="Q66" s="26">
        <f t="shared" si="87"/>
        <v>0.8901167253172042</v>
      </c>
      <c r="R66" s="26">
        <f t="shared" si="87"/>
        <v>0.93497775473519662</v>
      </c>
      <c r="S66" s="26">
        <f t="shared" ref="S66:T66" si="88">S64/SUM(S6,S7)</f>
        <v>0.99786977536762989</v>
      </c>
      <c r="T66" s="26">
        <f t="shared" si="88"/>
        <v>0.89816663009467157</v>
      </c>
      <c r="U66" s="26">
        <f t="shared" ref="U66:X66" si="89">U64/SUM(U6,U7)</f>
        <v>0.89235314618003481</v>
      </c>
      <c r="V66" s="26">
        <f t="shared" si="89"/>
        <v>0.87469873611200855</v>
      </c>
      <c r="W66" s="26">
        <f t="shared" si="89"/>
        <v>0.83905621904645478</v>
      </c>
      <c r="X66" s="26">
        <f t="shared" si="89"/>
        <v>0.88355555262612762</v>
      </c>
    </row>
    <row r="67" spans="2:24" ht="15.75" customHeight="1" x14ac:dyDescent="0.25">
      <c r="B67" s="18" t="s">
        <v>76</v>
      </c>
      <c r="C67" s="25">
        <f t="shared" ref="C67:F67" si="90">C64/C60</f>
        <v>0.32406916625775711</v>
      </c>
      <c r="D67" s="25">
        <f t="shared" si="90"/>
        <v>0.13411863195794849</v>
      </c>
      <c r="E67" s="25">
        <f t="shared" si="90"/>
        <v>0.5068939251502067</v>
      </c>
      <c r="F67" s="25">
        <f t="shared" si="90"/>
        <v>0.70599425811340388</v>
      </c>
      <c r="G67" s="25">
        <f>G64/G60</f>
        <v>0.58444578359925603</v>
      </c>
      <c r="H67" s="25">
        <f>H64/H60</f>
        <v>0.65390660737281892</v>
      </c>
      <c r="I67" s="25">
        <f>I64/I60</f>
        <v>0.6450237619761644</v>
      </c>
      <c r="J67" s="25">
        <f t="shared" ref="J67:L67" si="91">J64/J60</f>
        <v>0.67600411144528116</v>
      </c>
      <c r="K67" s="25">
        <f>K64/K60</f>
        <v>0.68182102860322236</v>
      </c>
      <c r="L67" s="25">
        <f t="shared" si="91"/>
        <v>0.67846505038850846</v>
      </c>
      <c r="M67" s="25">
        <f>M64/M60</f>
        <v>0.67807690413087851</v>
      </c>
      <c r="N67" s="25">
        <f t="shared" ref="N67:R67" si="92">N64/N60</f>
        <v>0.68083946145550167</v>
      </c>
      <c r="O67" s="25">
        <f t="shared" si="92"/>
        <v>0.56373101912005963</v>
      </c>
      <c r="P67" s="25">
        <f t="shared" si="92"/>
        <v>0.66069880235434997</v>
      </c>
      <c r="Q67" s="25">
        <f t="shared" si="92"/>
        <v>0.56997870601884948</v>
      </c>
      <c r="R67" s="25">
        <f t="shared" si="92"/>
        <v>0.60564029763466365</v>
      </c>
      <c r="S67" s="25">
        <f t="shared" ref="S67:T67" si="93">S64/S60</f>
        <v>0.64221305536286921</v>
      </c>
      <c r="T67" s="25">
        <f t="shared" si="93"/>
        <v>0.6503988994231461</v>
      </c>
      <c r="U67" s="25">
        <f t="shared" ref="U67:X67" si="94">U64/U60</f>
        <v>0.63936712928131956</v>
      </c>
      <c r="V67" s="25">
        <f t="shared" si="94"/>
        <v>0.66820152168286573</v>
      </c>
      <c r="W67" s="25">
        <f t="shared" si="94"/>
        <v>0.52471840649230428</v>
      </c>
      <c r="X67" s="25">
        <f t="shared" si="94"/>
        <v>0.75514108913184019</v>
      </c>
    </row>
    <row r="69" spans="2:24" ht="15.75" customHeight="1" x14ac:dyDescent="0.25">
      <c r="B69" s="16" t="s">
        <v>77</v>
      </c>
      <c r="C69" s="21">
        <f t="shared" ref="C69:F69" si="95">C64+C70</f>
        <v>1186465.8280445875</v>
      </c>
      <c r="D69" s="20">
        <f t="shared" si="95"/>
        <v>491028.4293928431</v>
      </c>
      <c r="E69" s="20">
        <f t="shared" si="95"/>
        <v>1855814.6940636791</v>
      </c>
      <c r="F69" s="21">
        <f t="shared" si="95"/>
        <v>2584750.8780918885</v>
      </c>
      <c r="G69" s="20">
        <f>G64+G70</f>
        <v>2139743.6806244161</v>
      </c>
      <c r="H69" s="20">
        <f>H64+H70</f>
        <v>2394050.1755829961</v>
      </c>
      <c r="I69" s="20">
        <f>I64+I70</f>
        <v>2361528.7461590343</v>
      </c>
      <c r="J69" s="20">
        <f t="shared" ref="J69:L69" si="96">J64+J70</f>
        <v>2474952.4526178911</v>
      </c>
      <c r="K69" s="20">
        <f t="shared" si="96"/>
        <v>2496249.0588706876</v>
      </c>
      <c r="L69" s="20">
        <f t="shared" si="96"/>
        <v>2483962.3192298878</v>
      </c>
      <c r="M69" s="20">
        <f t="shared" ref="M69:R69" si="97">M64+M70</f>
        <v>2482541.2575587658</v>
      </c>
      <c r="N69" s="20">
        <f t="shared" si="97"/>
        <v>2492655.3943078099</v>
      </c>
      <c r="O69" s="20">
        <f t="shared" si="97"/>
        <v>3800778.2574149603</v>
      </c>
      <c r="P69" s="20">
        <f t="shared" si="97"/>
        <v>4454552.894052661</v>
      </c>
      <c r="Q69" s="20">
        <f t="shared" si="97"/>
        <v>3842901.3120609904</v>
      </c>
      <c r="R69" s="20">
        <f t="shared" si="97"/>
        <v>4083338.3244676669</v>
      </c>
      <c r="S69" s="20">
        <f t="shared" ref="S69:T69" si="98">S64+S70</f>
        <v>9806256.8357500024</v>
      </c>
      <c r="T69" s="20">
        <f t="shared" si="98"/>
        <v>9931250.3851681426</v>
      </c>
      <c r="U69" s="20">
        <f t="shared" ref="U69:X69" si="99">U64+U70</f>
        <v>9762801.0357500054</v>
      </c>
      <c r="V69" s="20">
        <f t="shared" si="99"/>
        <v>10203087.098499998</v>
      </c>
      <c r="W69" s="20">
        <f t="shared" si="99"/>
        <v>8012175.114692484</v>
      </c>
      <c r="X69" s="20">
        <f t="shared" si="99"/>
        <v>11530608.737112494</v>
      </c>
    </row>
    <row r="70" spans="2:24" ht="15.75" customHeight="1" x14ac:dyDescent="0.25">
      <c r="B70" s="17" t="s">
        <v>78</v>
      </c>
      <c r="C70" s="24">
        <f t="shared" ref="C70:H70" si="100">-C21-C23</f>
        <v>0</v>
      </c>
      <c r="D70" s="24">
        <f t="shared" si="100"/>
        <v>0</v>
      </c>
      <c r="E70" s="24">
        <f t="shared" si="100"/>
        <v>0</v>
      </c>
      <c r="F70" s="24">
        <f t="shared" si="100"/>
        <v>0</v>
      </c>
      <c r="G70" s="24">
        <f t="shared" si="100"/>
        <v>0</v>
      </c>
      <c r="H70" s="24">
        <f t="shared" si="100"/>
        <v>0</v>
      </c>
      <c r="I70" s="24">
        <f t="shared" ref="I70:L70" si="101">-I21-I23</f>
        <v>0</v>
      </c>
      <c r="J70" s="24">
        <f t="shared" si="101"/>
        <v>0</v>
      </c>
      <c r="K70" s="24">
        <f t="shared" si="101"/>
        <v>0</v>
      </c>
      <c r="L70" s="24">
        <f t="shared" si="101"/>
        <v>0</v>
      </c>
      <c r="M70" s="24">
        <f>-M21-M23</f>
        <v>0</v>
      </c>
      <c r="N70" s="24">
        <f t="shared" ref="N70:R70" si="102">-N21-N23</f>
        <v>0</v>
      </c>
      <c r="O70" s="24">
        <f t="shared" si="102"/>
        <v>0</v>
      </c>
      <c r="P70" s="24">
        <f t="shared" si="102"/>
        <v>0</v>
      </c>
      <c r="Q70" s="24">
        <f t="shared" si="102"/>
        <v>0</v>
      </c>
      <c r="R70" s="24">
        <f t="shared" si="102"/>
        <v>0</v>
      </c>
      <c r="S70" s="24">
        <f t="shared" ref="S70:T70" si="103">-S21-S23</f>
        <v>0</v>
      </c>
      <c r="T70" s="24">
        <f t="shared" si="103"/>
        <v>0</v>
      </c>
      <c r="U70" s="24">
        <f t="shared" ref="U70:X70" si="104">-U21-U23</f>
        <v>0</v>
      </c>
      <c r="V70" s="24">
        <f t="shared" si="104"/>
        <v>0</v>
      </c>
      <c r="W70" s="24">
        <f t="shared" si="104"/>
        <v>0</v>
      </c>
      <c r="X70" s="24">
        <f t="shared" si="104"/>
        <v>0</v>
      </c>
    </row>
    <row r="71" spans="2:24" ht="15.75" customHeight="1" x14ac:dyDescent="0.25">
      <c r="B71" s="18" t="s">
        <v>79</v>
      </c>
      <c r="C71" s="27">
        <f t="shared" ref="C71:F71" si="105">C69/C60</f>
        <v>0.32406916625775711</v>
      </c>
      <c r="D71" s="27">
        <f t="shared" si="105"/>
        <v>0.13411863195794849</v>
      </c>
      <c r="E71" s="27">
        <f t="shared" si="105"/>
        <v>0.5068939251502067</v>
      </c>
      <c r="F71" s="27">
        <f t="shared" si="105"/>
        <v>0.70599425811340388</v>
      </c>
      <c r="G71" s="27">
        <f>G69/G60</f>
        <v>0.58444578359925603</v>
      </c>
      <c r="H71" s="27">
        <f>H69/H60</f>
        <v>0.65390660737281892</v>
      </c>
      <c r="I71" s="27">
        <f>I69/I60</f>
        <v>0.6450237619761644</v>
      </c>
      <c r="J71" s="27">
        <f t="shared" ref="J71:L71" si="106">J69/J60</f>
        <v>0.67600411144528116</v>
      </c>
      <c r="K71" s="27">
        <f t="shared" si="106"/>
        <v>0.68182102860322236</v>
      </c>
      <c r="L71" s="27">
        <f t="shared" si="106"/>
        <v>0.67846505038850846</v>
      </c>
      <c r="M71" s="27">
        <f>M69/M60</f>
        <v>0.67807690413087851</v>
      </c>
      <c r="N71" s="27">
        <f t="shared" ref="N71:R71" si="107">N69/N60</f>
        <v>0.68083946145550167</v>
      </c>
      <c r="O71" s="27">
        <f t="shared" si="107"/>
        <v>0.56373101912005963</v>
      </c>
      <c r="P71" s="27">
        <f t="shared" si="107"/>
        <v>0.66069880235434997</v>
      </c>
      <c r="Q71" s="27">
        <f t="shared" si="107"/>
        <v>0.56997870601884948</v>
      </c>
      <c r="R71" s="27">
        <f t="shared" si="107"/>
        <v>0.60564029763466365</v>
      </c>
      <c r="S71" s="27">
        <f t="shared" ref="S71:T71" si="108">S69/S60</f>
        <v>0.64221305536286921</v>
      </c>
      <c r="T71" s="27">
        <f t="shared" si="108"/>
        <v>0.6503988994231461</v>
      </c>
      <c r="U71" s="27">
        <f t="shared" ref="U71:X71" si="109">U69/U60</f>
        <v>0.63936712928131956</v>
      </c>
      <c r="V71" s="27">
        <f t="shared" si="109"/>
        <v>0.66820152168286573</v>
      </c>
      <c r="W71" s="27">
        <f t="shared" si="109"/>
        <v>0.52471840649230428</v>
      </c>
      <c r="X71" s="27">
        <f t="shared" si="109"/>
        <v>0.75514108913184019</v>
      </c>
    </row>
    <row r="73" spans="2:24" ht="15.75" customHeight="1" x14ac:dyDescent="0.25">
      <c r="B73" s="16" t="s">
        <v>80</v>
      </c>
      <c r="C73" s="21">
        <f t="shared" ref="C73:F73" si="110">+(C74/C75)</f>
        <v>299.47310668491264</v>
      </c>
      <c r="D73" s="20">
        <f t="shared" si="110"/>
        <v>722.19645090302924</v>
      </c>
      <c r="E73" s="20">
        <f t="shared" si="110"/>
        <v>173.60634174876563</v>
      </c>
      <c r="F73" s="21">
        <f t="shared" si="110"/>
        <v>124.63274168140072</v>
      </c>
      <c r="G73" s="20">
        <f>+(G74/G75)</f>
        <v>159.70685839356071</v>
      </c>
      <c r="H73" s="20">
        <f>+(H74/H75)</f>
        <v>145.83122257033773</v>
      </c>
      <c r="I73" s="20">
        <f>+(I74/I75)</f>
        <v>155.48264406994983</v>
      </c>
      <c r="J73" s="20">
        <f t="shared" ref="J73:L73" si="111">+(J74/J75)</f>
        <v>150.8866562688892</v>
      </c>
      <c r="K73" s="20">
        <f t="shared" si="111"/>
        <v>150.03937354289533</v>
      </c>
      <c r="L73" s="20">
        <f t="shared" si="111"/>
        <v>147.68631035986689</v>
      </c>
      <c r="M73" s="20">
        <f>+(M74/M75)</f>
        <v>149.24560825399675</v>
      </c>
      <c r="N73" s="20">
        <f t="shared" ref="N73:R73" si="112">+(N74/N75)</f>
        <v>151.5775830316571</v>
      </c>
      <c r="O73" s="20">
        <f t="shared" si="112"/>
        <v>180.93735583188962</v>
      </c>
      <c r="P73" s="20">
        <f t="shared" si="112"/>
        <v>162.17677346799951</v>
      </c>
      <c r="Q73" s="20">
        <f t="shared" si="112"/>
        <v>188.95442735441125</v>
      </c>
      <c r="R73" s="20">
        <f t="shared" si="112"/>
        <v>175.51672240958217</v>
      </c>
      <c r="S73" s="20">
        <f t="shared" ref="S73:T73" si="113">+(S74/S75)</f>
        <v>173.38482777663867</v>
      </c>
      <c r="T73" s="20">
        <f t="shared" si="113"/>
        <v>193.11225789495887</v>
      </c>
      <c r="U73" s="20">
        <f t="shared" ref="U73:X73" si="114">+(U74/U75)</f>
        <v>238.51711014830806</v>
      </c>
      <c r="V73" s="20">
        <f t="shared" si="114"/>
        <v>202.78313592992606</v>
      </c>
      <c r="W73" s="20">
        <f t="shared" si="114"/>
        <v>245.84614986608435</v>
      </c>
      <c r="X73" s="20">
        <f t="shared" si="114"/>
        <v>138.51716123705444</v>
      </c>
    </row>
    <row r="74" spans="2:24" ht="15.75" customHeight="1" x14ac:dyDescent="0.25">
      <c r="B74" s="17" t="s">
        <v>81</v>
      </c>
      <c r="C74" s="29">
        <f>97.05*C60</f>
        <v>355314607.5</v>
      </c>
      <c r="D74" s="29">
        <f>96.86*D60</f>
        <v>354618989</v>
      </c>
      <c r="E74" s="29">
        <f>88*E60</f>
        <v>322181200</v>
      </c>
      <c r="F74" s="29">
        <f>87.99*F60</f>
        <v>322144588.5</v>
      </c>
      <c r="G74" s="29">
        <f>93.34*G60</f>
        <v>341731741</v>
      </c>
      <c r="H74" s="29">
        <f>95.36*H60</f>
        <v>349127264</v>
      </c>
      <c r="I74" s="29">
        <f>100.29*I60</f>
        <v>367176733.5</v>
      </c>
      <c r="J74" s="29">
        <f>102*J60</f>
        <v>373437300</v>
      </c>
      <c r="K74" s="29">
        <f>102.3*K60</f>
        <v>374535645</v>
      </c>
      <c r="L74" s="29">
        <f>100.2*L60</f>
        <v>366847230</v>
      </c>
      <c r="M74" s="29">
        <f>101.2*M60</f>
        <v>370508380</v>
      </c>
      <c r="N74" s="29">
        <f>103.2*N60</f>
        <v>377830680</v>
      </c>
      <c r="O74" s="29">
        <f>102*O60</f>
        <v>687702768</v>
      </c>
      <c r="P74" s="29">
        <f>107.15*P60</f>
        <v>722425015.60000002</v>
      </c>
      <c r="Q74" s="29">
        <f>107.7*Q60</f>
        <v>726133216.80000007</v>
      </c>
      <c r="R74" s="29">
        <f>106.3*R60</f>
        <v>716694159.19999993</v>
      </c>
      <c r="S74" s="29">
        <f>111.35*S60</f>
        <v>1700256152.5999999</v>
      </c>
      <c r="T74" s="29">
        <f>125.6*T60</f>
        <v>1917846185.5999999</v>
      </c>
      <c r="U74" s="29">
        <f>152.5*U60</f>
        <v>2328595090</v>
      </c>
      <c r="V74" s="29">
        <f>135.5*V60</f>
        <v>2069013998</v>
      </c>
      <c r="W74" s="29">
        <f>129*W60</f>
        <v>1969762404</v>
      </c>
      <c r="X74" s="29">
        <f>104.6*X60</f>
        <v>1597187189.5999999</v>
      </c>
    </row>
    <row r="75" spans="2:24" ht="15.75" customHeight="1" x14ac:dyDescent="0.25">
      <c r="B75" s="18" t="s">
        <v>82</v>
      </c>
      <c r="C75" s="30">
        <f t="shared" ref="C75:H75" si="115">C58</f>
        <v>1186465.8280445875</v>
      </c>
      <c r="D75" s="30">
        <f t="shared" si="115"/>
        <v>491028.4293928431</v>
      </c>
      <c r="E75" s="30">
        <f t="shared" si="115"/>
        <v>1855814.6940636791</v>
      </c>
      <c r="F75" s="30">
        <f t="shared" si="115"/>
        <v>2584750.8780918885</v>
      </c>
      <c r="G75" s="30">
        <f t="shared" si="115"/>
        <v>2139743.6806244161</v>
      </c>
      <c r="H75" s="30">
        <f t="shared" si="115"/>
        <v>2394050.1755829961</v>
      </c>
      <c r="I75" s="30">
        <f t="shared" ref="I75:L75" si="116">I58</f>
        <v>2361528.7461590343</v>
      </c>
      <c r="J75" s="30">
        <f t="shared" si="116"/>
        <v>2474952.4526178911</v>
      </c>
      <c r="K75" s="30">
        <f t="shared" si="116"/>
        <v>2496249.0588706876</v>
      </c>
      <c r="L75" s="30">
        <f t="shared" si="116"/>
        <v>2483962.3192298878</v>
      </c>
      <c r="M75" s="30">
        <f t="shared" ref="M75:R75" si="117">M58</f>
        <v>2482541.2575587658</v>
      </c>
      <c r="N75" s="30">
        <f t="shared" si="117"/>
        <v>2492655.3943078099</v>
      </c>
      <c r="O75" s="30">
        <f t="shared" si="117"/>
        <v>3800778.2574149603</v>
      </c>
      <c r="P75" s="30">
        <f t="shared" si="117"/>
        <v>4454552.894052661</v>
      </c>
      <c r="Q75" s="30">
        <f t="shared" si="117"/>
        <v>3842901.3120609904</v>
      </c>
      <c r="R75" s="30">
        <f t="shared" si="117"/>
        <v>4083338.3244676669</v>
      </c>
      <c r="S75" s="30">
        <f t="shared" ref="S75:T75" si="118">S58</f>
        <v>9806256.8357500024</v>
      </c>
      <c r="T75" s="30">
        <f t="shared" si="118"/>
        <v>9931250.3851681426</v>
      </c>
      <c r="U75" s="30">
        <f t="shared" ref="U75:X75" si="119">U58</f>
        <v>9762801.0357500054</v>
      </c>
      <c r="V75" s="30">
        <f t="shared" si="119"/>
        <v>10203087.098499998</v>
      </c>
      <c r="W75" s="30">
        <f t="shared" si="119"/>
        <v>8012175.114692484</v>
      </c>
      <c r="X75" s="30">
        <f t="shared" si="119"/>
        <v>11530608.737112494</v>
      </c>
    </row>
    <row r="76" spans="2:24" ht="15.75" customHeight="1" x14ac:dyDescent="0.25">
      <c r="B76" s="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2:24" ht="15.75" customHeight="1" x14ac:dyDescent="0.25">
      <c r="B77" s="16" t="s">
        <v>83</v>
      </c>
      <c r="C77" s="31">
        <f t="shared" ref="C77:F77" si="120">C78/C79</f>
        <v>4.0070376044235814E-2</v>
      </c>
      <c r="D77" s="32">
        <f t="shared" si="120"/>
        <v>1.6615977529376231E-2</v>
      </c>
      <c r="E77" s="32">
        <f t="shared" si="120"/>
        <v>6.9121898884119098E-2</v>
      </c>
      <c r="F77" s="31">
        <f t="shared" si="120"/>
        <v>9.6282885525182937E-2</v>
      </c>
      <c r="G77" s="32">
        <f>G78/G79</f>
        <v>7.5137662344022624E-2</v>
      </c>
      <c r="H77" s="32">
        <f>H78/H79</f>
        <v>8.228690529020373E-2</v>
      </c>
      <c r="I77" s="32">
        <f>I78/I79</f>
        <v>7.7179032243633178E-2</v>
      </c>
      <c r="J77" s="32">
        <f t="shared" ref="J77:L77" si="121">J78/J79</f>
        <v>7.9529895464150721E-2</v>
      </c>
      <c r="K77" s="32">
        <f t="shared" si="121"/>
        <v>7.9979006287768023E-2</v>
      </c>
      <c r="L77" s="32">
        <f t="shared" si="121"/>
        <v>8.1253299447725552E-2</v>
      </c>
      <c r="M77" s="32">
        <f t="shared" ref="M77:R77" si="122">M78/M79</f>
        <v>8.0404375983898629E-2</v>
      </c>
      <c r="N77" s="32">
        <f t="shared" si="122"/>
        <v>7.916737923901182E-2</v>
      </c>
      <c r="O77" s="32">
        <f t="shared" si="122"/>
        <v>6.6321296367065838E-2</v>
      </c>
      <c r="P77" s="32">
        <f t="shared" si="122"/>
        <v>7.3993332974822204E-2</v>
      </c>
      <c r="Q77" s="32">
        <f t="shared" si="122"/>
        <v>6.3507376715192132E-2</v>
      </c>
      <c r="R77" s="32">
        <f t="shared" si="122"/>
        <v>6.8369553825173707E-2</v>
      </c>
      <c r="S77" s="32">
        <f t="shared" ref="S77:T77" si="123">S78/S79</f>
        <v>6.9210208031921239E-2</v>
      </c>
      <c r="T77" s="32">
        <f t="shared" si="123"/>
        <v>6.2140022237880198E-2</v>
      </c>
      <c r="U77" s="32">
        <f t="shared" ref="U77:X77" si="124">U78/U79</f>
        <v>5.0310856074595643E-2</v>
      </c>
      <c r="V77" s="32">
        <f t="shared" si="124"/>
        <v>5.9176518525419844E-2</v>
      </c>
      <c r="W77" s="32">
        <f t="shared" si="124"/>
        <v>4.8811014557423656E-2</v>
      </c>
      <c r="X77" s="32">
        <f t="shared" si="124"/>
        <v>8.6631864909962553E-2</v>
      </c>
    </row>
    <row r="78" spans="2:24" ht="15.75" customHeight="1" x14ac:dyDescent="0.25">
      <c r="B78" s="17" t="s">
        <v>79</v>
      </c>
      <c r="C78" s="28">
        <f t="shared" ref="C78:F78" si="125">C71*12</f>
        <v>3.8888299950930856</v>
      </c>
      <c r="D78" s="28">
        <f t="shared" si="125"/>
        <v>1.6094235834953818</v>
      </c>
      <c r="E78" s="28">
        <f t="shared" si="125"/>
        <v>6.0827271018024804</v>
      </c>
      <c r="F78" s="28">
        <f t="shared" si="125"/>
        <v>8.4719310973608462</v>
      </c>
      <c r="G78" s="28">
        <f>G71*12</f>
        <v>7.0133494031910724</v>
      </c>
      <c r="H78" s="28">
        <f>H71*12</f>
        <v>7.8468792884738274</v>
      </c>
      <c r="I78" s="28">
        <f>I71*12</f>
        <v>7.7402851437139724</v>
      </c>
      <c r="J78" s="28">
        <f t="shared" ref="J78:L78" si="126">J71*12</f>
        <v>8.1120493373433735</v>
      </c>
      <c r="K78" s="28">
        <f t="shared" si="126"/>
        <v>8.1818523432386687</v>
      </c>
      <c r="L78" s="28">
        <f t="shared" si="126"/>
        <v>8.1415806046621011</v>
      </c>
      <c r="M78" s="28">
        <f t="shared" ref="M78:R78" si="127">M71*12</f>
        <v>8.1369228495705421</v>
      </c>
      <c r="N78" s="28">
        <f t="shared" si="127"/>
        <v>8.1700735374660205</v>
      </c>
      <c r="O78" s="28">
        <f t="shared" si="127"/>
        <v>6.764772229440716</v>
      </c>
      <c r="P78" s="28">
        <f t="shared" si="127"/>
        <v>7.9283856282521992</v>
      </c>
      <c r="Q78" s="28">
        <f t="shared" si="127"/>
        <v>6.8397444722261937</v>
      </c>
      <c r="R78" s="28">
        <f t="shared" si="127"/>
        <v>7.2676835716159633</v>
      </c>
      <c r="S78" s="28">
        <f t="shared" ref="S78:T78" si="128">S71*12</f>
        <v>7.7065566643544301</v>
      </c>
      <c r="T78" s="28">
        <f t="shared" si="128"/>
        <v>7.8047867930777528</v>
      </c>
      <c r="U78" s="28">
        <f t="shared" ref="U78:X78" si="129">U71*12</f>
        <v>7.6724055513758351</v>
      </c>
      <c r="V78" s="28">
        <f t="shared" si="129"/>
        <v>8.0184182601943892</v>
      </c>
      <c r="W78" s="28">
        <f t="shared" si="129"/>
        <v>6.2966208779076513</v>
      </c>
      <c r="X78" s="28">
        <f t="shared" si="129"/>
        <v>9.0616930695820823</v>
      </c>
    </row>
    <row r="79" spans="2:24" ht="15.75" customHeight="1" x14ac:dyDescent="0.25">
      <c r="B79" s="18" t="s">
        <v>84</v>
      </c>
      <c r="C79" s="27">
        <f>C74/C60</f>
        <v>97.05</v>
      </c>
      <c r="D79" s="27">
        <f t="shared" ref="D79:F79" si="130">D74/D60</f>
        <v>96.86</v>
      </c>
      <c r="E79" s="27">
        <f t="shared" si="130"/>
        <v>88</v>
      </c>
      <c r="F79" s="27">
        <f t="shared" si="130"/>
        <v>87.99</v>
      </c>
      <c r="G79" s="27">
        <f>G74/G60</f>
        <v>93.34</v>
      </c>
      <c r="H79" s="27">
        <f>H74/H60</f>
        <v>95.36</v>
      </c>
      <c r="I79" s="27">
        <f>I74/I60</f>
        <v>100.29</v>
      </c>
      <c r="J79" s="27">
        <f t="shared" ref="J79:L79" si="131">J74/J60</f>
        <v>102</v>
      </c>
      <c r="K79" s="27">
        <f t="shared" si="131"/>
        <v>102.3</v>
      </c>
      <c r="L79" s="27">
        <f t="shared" si="131"/>
        <v>100.2</v>
      </c>
      <c r="M79" s="27">
        <f t="shared" ref="M79:R79" si="132">M74/M60</f>
        <v>101.2</v>
      </c>
      <c r="N79" s="27">
        <f t="shared" si="132"/>
        <v>103.2</v>
      </c>
      <c r="O79" s="27">
        <f t="shared" si="132"/>
        <v>102</v>
      </c>
      <c r="P79" s="27">
        <f t="shared" si="132"/>
        <v>107.15</v>
      </c>
      <c r="Q79" s="27">
        <f t="shared" si="132"/>
        <v>107.70000000000002</v>
      </c>
      <c r="R79" s="27">
        <f t="shared" si="132"/>
        <v>106.29999999999998</v>
      </c>
      <c r="S79" s="27">
        <f t="shared" ref="S79:T79" si="133">S74/S60</f>
        <v>111.35</v>
      </c>
      <c r="T79" s="27">
        <f t="shared" si="133"/>
        <v>125.6</v>
      </c>
      <c r="U79" s="27">
        <f t="shared" ref="U79:X79" si="134">U74/U60</f>
        <v>152.5</v>
      </c>
      <c r="V79" s="27">
        <f t="shared" si="134"/>
        <v>135.5</v>
      </c>
      <c r="W79" s="27">
        <f t="shared" si="134"/>
        <v>129</v>
      </c>
      <c r="X79" s="27">
        <f t="shared" si="134"/>
        <v>104.6</v>
      </c>
    </row>
    <row r="81" spans="1:26" ht="15.75" customHeight="1" x14ac:dyDescent="0.25">
      <c r="B81" s="16" t="s">
        <v>85</v>
      </c>
      <c r="C81" s="31"/>
      <c r="D81" s="32"/>
      <c r="E81" s="32"/>
      <c r="F81" s="31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6" s="7" customFormat="1" ht="15.75" customHeight="1" x14ac:dyDescent="0.25">
      <c r="A82" s="6"/>
      <c r="B82" s="51" t="s">
        <v>86</v>
      </c>
      <c r="C82" s="43">
        <f>SUM(C83:C84)</f>
        <v>99615605.039999992</v>
      </c>
      <c r="D82" s="43">
        <f t="shared" ref="D82:F82" si="135">SUM(D83:D84)</f>
        <v>94708311.959999979</v>
      </c>
      <c r="E82" s="43">
        <f t="shared" si="135"/>
        <v>95935935.049999997</v>
      </c>
      <c r="F82" s="43">
        <f t="shared" si="135"/>
        <v>96046058.129999995</v>
      </c>
      <c r="G82" s="43">
        <f>SUM(G83:G84)</f>
        <v>95262178.040000007</v>
      </c>
      <c r="H82" s="43">
        <f>SUM(H83:H84)</f>
        <v>62265748.190000005</v>
      </c>
      <c r="I82" s="43">
        <f>SUM(I83:I84)</f>
        <v>34548162.630000003</v>
      </c>
      <c r="J82" s="43">
        <f t="shared" ref="J82:L82" si="136">SUM(J83:J84)</f>
        <v>17136885.399999999</v>
      </c>
      <c r="K82" s="43">
        <f t="shared" si="136"/>
        <v>17253310.280000001</v>
      </c>
      <c r="L82" s="43">
        <f t="shared" si="136"/>
        <v>17243403.559999999</v>
      </c>
      <c r="M82" s="43">
        <f t="shared" ref="M82:R82" si="137">SUM(M83:M84)</f>
        <v>11276537.359999999</v>
      </c>
      <c r="N82" s="43">
        <f t="shared" si="137"/>
        <v>306408674.88</v>
      </c>
      <c r="O82" s="43">
        <f t="shared" si="137"/>
        <v>116391182.14</v>
      </c>
      <c r="P82" s="43">
        <f t="shared" si="137"/>
        <v>109528401.69999999</v>
      </c>
      <c r="Q82" s="43">
        <f t="shared" si="137"/>
        <v>95388891.5</v>
      </c>
      <c r="R82" s="43">
        <f t="shared" si="137"/>
        <v>83560876.949999884</v>
      </c>
      <c r="S82" s="43">
        <f t="shared" ref="S82:T82" si="138">SUM(S83:S84)</f>
        <v>355088545.99999994</v>
      </c>
      <c r="T82" s="43">
        <f t="shared" si="138"/>
        <v>267999116.04999977</v>
      </c>
      <c r="U82" s="43">
        <f t="shared" ref="U82:X82" si="139">SUM(U83:U84)</f>
        <v>225725113.25999975</v>
      </c>
      <c r="V82" s="43">
        <f t="shared" si="139"/>
        <v>216697578.01999998</v>
      </c>
      <c r="W82" s="43">
        <f t="shared" si="139"/>
        <v>193494596.53999975</v>
      </c>
      <c r="X82" s="43">
        <f t="shared" si="139"/>
        <v>172013294.10999998</v>
      </c>
      <c r="Z82" s="54"/>
    </row>
    <row r="83" spans="1:26" ht="15.75" customHeight="1" x14ac:dyDescent="0.25">
      <c r="B83" s="18" t="s">
        <v>87</v>
      </c>
      <c r="C83" s="8">
        <v>99325952.559999987</v>
      </c>
      <c r="D83" s="8">
        <v>92818223.37999998</v>
      </c>
      <c r="E83" s="8">
        <v>94045846.469999999</v>
      </c>
      <c r="F83" s="8">
        <v>94251043.539999992</v>
      </c>
      <c r="G83" s="8">
        <v>93458633.260000005</v>
      </c>
      <c r="H83" s="8">
        <v>60448820.240000002</v>
      </c>
      <c r="I83" s="8">
        <v>32430313.199999999</v>
      </c>
      <c r="J83" s="8">
        <v>14591966.58</v>
      </c>
      <c r="K83" s="8">
        <v>14712765.66</v>
      </c>
      <c r="L83" s="8">
        <v>14377997.91</v>
      </c>
      <c r="M83" s="8">
        <v>8402164.0999999996</v>
      </c>
      <c r="N83" s="8">
        <v>303502624.02999997</v>
      </c>
      <c r="O83" s="8">
        <v>112927916</v>
      </c>
      <c r="P83" s="8">
        <v>104452920.20999999</v>
      </c>
      <c r="Q83" s="8">
        <v>89232190.959999993</v>
      </c>
      <c r="R83" s="8">
        <v>78555789.160000563</v>
      </c>
      <c r="S83" s="8">
        <v>350109744.84999996</v>
      </c>
      <c r="T83" s="8">
        <v>263550760.58999977</v>
      </c>
      <c r="U83" s="8">
        <v>220501614.07999974</v>
      </c>
      <c r="V83" s="8">
        <v>210045160.45999998</v>
      </c>
      <c r="W83" s="8">
        <v>180378478.31999999</v>
      </c>
      <c r="X83" s="8">
        <v>157370284.59999999</v>
      </c>
      <c r="Z83" s="54"/>
    </row>
    <row r="84" spans="1:26" ht="15.75" customHeight="1" x14ac:dyDescent="0.25">
      <c r="B84" s="18" t="s">
        <v>88</v>
      </c>
      <c r="C84" s="8">
        <v>289652.47999999998</v>
      </c>
      <c r="D84" s="8">
        <v>1890088.5799999998</v>
      </c>
      <c r="E84" s="8">
        <v>1890088.5799999998</v>
      </c>
      <c r="F84" s="8">
        <v>1795014.59</v>
      </c>
      <c r="G84" s="8">
        <v>1803544.78</v>
      </c>
      <c r="H84" s="8">
        <v>1816927.9500000002</v>
      </c>
      <c r="I84" s="8">
        <v>2117849.4300000002</v>
      </c>
      <c r="J84" s="8">
        <v>2544918.8199999998</v>
      </c>
      <c r="K84" s="8">
        <v>2540544.62</v>
      </c>
      <c r="L84" s="8">
        <v>2865405.65</v>
      </c>
      <c r="M84" s="8">
        <v>2874373.26</v>
      </c>
      <c r="N84" s="8">
        <v>2906050.85</v>
      </c>
      <c r="O84" s="8">
        <v>3463266.14</v>
      </c>
      <c r="P84" s="8">
        <v>5075481.49</v>
      </c>
      <c r="Q84" s="8">
        <v>6156700.54</v>
      </c>
      <c r="R84" s="8">
        <f>5047396.95-42309.1600006818</f>
        <v>5005087.7899993183</v>
      </c>
      <c r="S84" s="8">
        <v>4978801.1499999994</v>
      </c>
      <c r="T84" s="8">
        <v>4448355.46</v>
      </c>
      <c r="U84" s="8">
        <v>5223499.18</v>
      </c>
      <c r="V84" s="8">
        <v>6652417.5599999987</v>
      </c>
      <c r="W84" s="8">
        <f>9516118.21999975+3600000</f>
        <v>13116118.219999749</v>
      </c>
      <c r="X84" s="8">
        <f>[1]Carteira!$QV$66</f>
        <v>14643009.51</v>
      </c>
      <c r="Z84" s="54"/>
    </row>
    <row r="85" spans="1:26" s="7" customFormat="1" ht="15.75" customHeight="1" x14ac:dyDescent="0.25">
      <c r="A85" s="6"/>
      <c r="B85" s="47" t="s">
        <v>89</v>
      </c>
      <c r="C85" s="44">
        <f>SUM(C86:C87)</f>
        <v>255556059.40000001</v>
      </c>
      <c r="D85" s="44">
        <f t="shared" ref="D85:F85" si="140">SUM(D86:D87)</f>
        <v>258549218.62</v>
      </c>
      <c r="E85" s="44">
        <f t="shared" si="140"/>
        <v>258549218.62</v>
      </c>
      <c r="F85" s="44">
        <f t="shared" si="140"/>
        <v>258549218.62</v>
      </c>
      <c r="G85" s="44">
        <f>SUM(G86:G87)</f>
        <v>258549218.62</v>
      </c>
      <c r="H85" s="44">
        <f>SUM(H86:H87)</f>
        <v>305382794.13999999</v>
      </c>
      <c r="I85" s="44">
        <f>SUM(I86:I87)</f>
        <v>343382794.14000005</v>
      </c>
      <c r="J85" s="44">
        <f t="shared" ref="J85:L85" si="141">SUM(J86:J87)</f>
        <v>554400000</v>
      </c>
      <c r="K85" s="44">
        <f t="shared" si="141"/>
        <v>554400000</v>
      </c>
      <c r="L85" s="44">
        <f t="shared" si="141"/>
        <v>554400000</v>
      </c>
      <c r="M85" s="44">
        <f t="shared" ref="M85:R85" si="142">SUM(M86:M87)</f>
        <v>554400000</v>
      </c>
      <c r="N85" s="44">
        <f t="shared" si="142"/>
        <v>554441868.75</v>
      </c>
      <c r="O85" s="44">
        <f t="shared" si="142"/>
        <v>728461269.5</v>
      </c>
      <c r="P85" s="44">
        <f t="shared" si="142"/>
        <v>728562891.5</v>
      </c>
      <c r="Q85" s="44">
        <f t="shared" si="142"/>
        <v>729259731.22000003</v>
      </c>
      <c r="R85" s="44">
        <f t="shared" si="142"/>
        <v>733472794.17999995</v>
      </c>
      <c r="S85" s="44">
        <f t="shared" ref="S85:T85" si="143">SUM(S86:S87)</f>
        <v>1607054327.3499999</v>
      </c>
      <c r="T85" s="44">
        <f t="shared" si="143"/>
        <v>1676778204.3099999</v>
      </c>
      <c r="U85" s="44">
        <f t="shared" ref="U85:X85" si="144">SUM(U86:U87)</f>
        <v>1849600666.54</v>
      </c>
      <c r="V85" s="44">
        <f t="shared" si="144"/>
        <v>1852600666.54</v>
      </c>
      <c r="W85" s="44">
        <f t="shared" si="144"/>
        <v>1852602649.9200001</v>
      </c>
      <c r="X85" s="44">
        <f t="shared" si="144"/>
        <v>1852597116.5500002</v>
      </c>
      <c r="Z85" s="54"/>
    </row>
    <row r="86" spans="1:26" ht="15.75" customHeight="1" x14ac:dyDescent="0.25">
      <c r="B86" s="18" t="s">
        <v>183</v>
      </c>
      <c r="C86" s="8">
        <v>255556059.40000001</v>
      </c>
      <c r="D86" s="8">
        <v>258549218.62</v>
      </c>
      <c r="E86" s="8">
        <v>258549218.62</v>
      </c>
      <c r="F86" s="8">
        <v>258549218.62</v>
      </c>
      <c r="G86" s="8">
        <v>258549218.62</v>
      </c>
      <c r="H86" s="8">
        <v>305382794.13999999</v>
      </c>
      <c r="I86" s="8">
        <v>343382794.14000005</v>
      </c>
      <c r="J86" s="8">
        <v>554400000</v>
      </c>
      <c r="K86" s="8">
        <v>554400000</v>
      </c>
      <c r="L86" s="8">
        <v>554400000</v>
      </c>
      <c r="M86" s="8">
        <v>554400000</v>
      </c>
      <c r="N86" s="8">
        <v>554441868.75</v>
      </c>
      <c r="O86" s="8">
        <v>728461269.5</v>
      </c>
      <c r="P86" s="8">
        <v>728562891.5</v>
      </c>
      <c r="Q86" s="8">
        <v>729259731.22000003</v>
      </c>
      <c r="R86" s="8">
        <v>733472794.17999995</v>
      </c>
      <c r="S86" s="8">
        <v>1607054327.3499999</v>
      </c>
      <c r="T86" s="8">
        <v>1676778204.3099999</v>
      </c>
      <c r="U86" s="8">
        <v>1849600666.54</v>
      </c>
      <c r="V86" s="8">
        <v>1852600666.54</v>
      </c>
      <c r="W86" s="8">
        <v>1852602649.9200001</v>
      </c>
      <c r="X86" s="8">
        <v>1852597116.5500002</v>
      </c>
      <c r="Z86" s="54"/>
    </row>
    <row r="87" spans="1:26" ht="15.75" customHeight="1" x14ac:dyDescent="0.25">
      <c r="B87" s="18" t="s">
        <v>90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Z87" s="54"/>
    </row>
    <row r="88" spans="1:26" s="7" customFormat="1" ht="15.75" customHeight="1" x14ac:dyDescent="0.25">
      <c r="A88" s="6"/>
      <c r="B88" s="47" t="s">
        <v>92</v>
      </c>
      <c r="C88" s="44">
        <v>7785922.0800000001</v>
      </c>
      <c r="D88" s="44">
        <v>4506073.3899999997</v>
      </c>
      <c r="E88" s="44">
        <v>3884533.32</v>
      </c>
      <c r="F88" s="44">
        <v>2879174.94</v>
      </c>
      <c r="G88" s="44">
        <v>2495871.2799999998</v>
      </c>
      <c r="H88" s="44">
        <v>16079978.83</v>
      </c>
      <c r="I88" s="44">
        <v>26164386.49000001</v>
      </c>
      <c r="J88" s="50">
        <f>2452970.5+38938.59+636489.31</f>
        <v>3128398.4</v>
      </c>
      <c r="K88" s="44">
        <f>2452970.5+502153.11</f>
        <v>2955123.61</v>
      </c>
      <c r="L88" s="44">
        <v>552363.71</v>
      </c>
      <c r="M88" s="44">
        <v>571453.55000000005</v>
      </c>
      <c r="N88" s="44">
        <v>601777.25</v>
      </c>
      <c r="O88" s="44">
        <v>947457.79</v>
      </c>
      <c r="P88" s="44">
        <f>72562.08+173788764.27*0+4585.09</f>
        <v>77147.17</v>
      </c>
      <c r="Q88" s="44">
        <v>4192630.0899999738</v>
      </c>
      <c r="R88" s="44">
        <v>4335699.7699999996</v>
      </c>
      <c r="S88" s="44">
        <f>651157.55+8186.04999989271+9772464.64</f>
        <v>10431808.239999894</v>
      </c>
      <c r="T88" s="44">
        <f>744722.57+9772464.63999993</f>
        <v>10517187.20999993</v>
      </c>
      <c r="U88" s="44">
        <v>11284090.000000099</v>
      </c>
      <c r="V88" s="44">
        <v>841999.46000051103</v>
      </c>
      <c r="W88" s="44">
        <v>10360442.249999801</v>
      </c>
      <c r="X88" s="44">
        <v>9806335.0800002497</v>
      </c>
      <c r="Y88" s="7" t="s">
        <v>187</v>
      </c>
      <c r="Z88" s="54"/>
    </row>
    <row r="89" spans="1:26" s="7" customFormat="1" ht="15.75" customHeight="1" x14ac:dyDescent="0.25">
      <c r="A89" s="6"/>
      <c r="B89" s="47" t="s">
        <v>93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205296586.22</v>
      </c>
      <c r="K89" s="44">
        <v>205296586.22</v>
      </c>
      <c r="L89" s="44">
        <v>205296586.22</v>
      </c>
      <c r="M89" s="44">
        <v>199319852.43000001</v>
      </c>
      <c r="N89" s="44">
        <v>196289954.41999999</v>
      </c>
      <c r="O89" s="44">
        <v>181961749.02000001</v>
      </c>
      <c r="P89" s="44">
        <v>173788764.27000001</v>
      </c>
      <c r="Q89" s="44">
        <v>160369302.61000001</v>
      </c>
      <c r="R89" s="44">
        <f>152803189.23-R88</f>
        <v>148467489.45999998</v>
      </c>
      <c r="S89" s="44">
        <f>459309138.5-9772464.64</f>
        <v>449536673.86000001</v>
      </c>
      <c r="T89" s="44">
        <v>441964295.69</v>
      </c>
      <c r="U89" s="44">
        <v>421987324.12</v>
      </c>
      <c r="V89" s="44">
        <v>397271406.14999998</v>
      </c>
      <c r="W89" s="44">
        <v>368862043.20999998</v>
      </c>
      <c r="X89" s="44">
        <v>344177537.10000002</v>
      </c>
      <c r="Y89" s="54" t="s">
        <v>187</v>
      </c>
      <c r="Z89" s="54"/>
    </row>
    <row r="90" spans="1:26" s="7" customFormat="1" ht="15.75" customHeight="1" x14ac:dyDescent="0.25">
      <c r="A90" s="6"/>
      <c r="B90" s="47" t="s">
        <v>91</v>
      </c>
      <c r="C90" s="44">
        <v>347385742.36000001</v>
      </c>
      <c r="D90" s="44">
        <v>348751457.19</v>
      </c>
      <c r="E90" s="44">
        <v>350600620.35000002</v>
      </c>
      <c r="F90" s="44">
        <v>351716101.81</v>
      </c>
      <c r="G90" s="44">
        <v>351315525.38</v>
      </c>
      <c r="H90" s="44">
        <v>351568563.5</v>
      </c>
      <c r="I90" s="48">
        <v>351766570.27999997</v>
      </c>
      <c r="J90" s="48">
        <v>363111900.77999997</v>
      </c>
      <c r="K90" s="48">
        <v>363401600.44999999</v>
      </c>
      <c r="L90" s="48">
        <v>365794453.63</v>
      </c>
      <c r="M90" s="48">
        <v>365785231.38</v>
      </c>
      <c r="N90" s="48">
        <v>663958811.96000004</v>
      </c>
      <c r="O90" s="48">
        <v>661943244.83000004</v>
      </c>
      <c r="P90" s="48">
        <v>664225381.75999999</v>
      </c>
      <c r="Q90" s="48">
        <v>660086690.01999998</v>
      </c>
      <c r="R90" s="48">
        <v>664230481.89999998</v>
      </c>
      <c r="S90" s="49">
        <v>1502174391.25</v>
      </c>
      <c r="T90" s="49">
        <v>1492295837.4599998</v>
      </c>
      <c r="U90" s="49">
        <v>1642054365.6799998</v>
      </c>
      <c r="V90" s="49">
        <v>1671184838.9499996</v>
      </c>
      <c r="W90" s="49">
        <v>1666874761</v>
      </c>
      <c r="X90" s="49">
        <v>1670626538.48</v>
      </c>
      <c r="Z90" s="54"/>
    </row>
    <row r="91" spans="1:26" ht="15.75" customHeight="1" x14ac:dyDescent="0.25">
      <c r="B91" s="11" t="s">
        <v>186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26" ht="15.75" customHeight="1" x14ac:dyDescent="0.25">
      <c r="B92" s="11" t="s">
        <v>188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26" ht="15.75" customHeight="1" x14ac:dyDescent="0.25">
      <c r="B93" s="16" t="s">
        <v>94</v>
      </c>
      <c r="C93" s="31"/>
      <c r="D93" s="32"/>
      <c r="E93" s="32"/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26" ht="15.75" customHeight="1" x14ac:dyDescent="0.25">
      <c r="B94" s="17" t="s">
        <v>95</v>
      </c>
      <c r="C94" s="33">
        <f t="shared" ref="C94:X94" si="145">IFERROR(C55/C32,0)</f>
        <v>0</v>
      </c>
      <c r="D94" s="33">
        <f t="shared" si="145"/>
        <v>1.6243411772213832</v>
      </c>
      <c r="E94" s="33">
        <f t="shared" si="145"/>
        <v>1.0979764232662161</v>
      </c>
      <c r="F94" s="33">
        <f t="shared" si="145"/>
        <v>1.4399671388952573</v>
      </c>
      <c r="G94" s="33">
        <f t="shared" si="145"/>
        <v>1.1920377916702065</v>
      </c>
      <c r="H94" s="33">
        <f t="shared" si="145"/>
        <v>1.0709432591721397</v>
      </c>
      <c r="I94" s="33">
        <f t="shared" si="145"/>
        <v>1.0411348966207981</v>
      </c>
      <c r="J94" s="33">
        <f t="shared" si="145"/>
        <v>0.97577809511079061</v>
      </c>
      <c r="K94" s="33">
        <f t="shared" si="145"/>
        <v>0.98597727049516914</v>
      </c>
      <c r="L94" s="33">
        <f t="shared" si="145"/>
        <v>0.9793192584819127</v>
      </c>
      <c r="M94" s="33">
        <f t="shared" si="145"/>
        <v>0.97875899512717246</v>
      </c>
      <c r="N94" s="33">
        <f t="shared" si="145"/>
        <v>0.97427698733804979</v>
      </c>
      <c r="O94" s="33">
        <f t="shared" si="145"/>
        <v>0.99582727106738167</v>
      </c>
      <c r="P94" s="33">
        <f t="shared" si="145"/>
        <v>0.93866569148006573</v>
      </c>
      <c r="Q94" s="33">
        <f t="shared" si="145"/>
        <v>0.8901167253172042</v>
      </c>
      <c r="R94" s="33">
        <f t="shared" si="145"/>
        <v>0.93497775473519662</v>
      </c>
      <c r="S94" s="33">
        <f t="shared" si="145"/>
        <v>0.99786977536762989</v>
      </c>
      <c r="T94" s="33">
        <f t="shared" si="145"/>
        <v>0.89816663009467157</v>
      </c>
      <c r="U94" s="33">
        <f t="shared" si="145"/>
        <v>0.89235314618003481</v>
      </c>
      <c r="V94" s="33">
        <f t="shared" si="145"/>
        <v>0.87469873611200855</v>
      </c>
      <c r="W94" s="33">
        <f t="shared" si="145"/>
        <v>0.83905621904645478</v>
      </c>
      <c r="X94" s="33">
        <f t="shared" si="145"/>
        <v>0.88355555262612762</v>
      </c>
    </row>
    <row r="95" spans="1:26" ht="15.75" customHeight="1" x14ac:dyDescent="0.25">
      <c r="B95" s="18" t="s">
        <v>96</v>
      </c>
      <c r="C95" s="26">
        <f t="shared" ref="C95:X95" si="146">C55/C90</f>
        <v>3.4154131369474533E-3</v>
      </c>
      <c r="D95" s="26">
        <f t="shared" si="146"/>
        <v>1.4079609397168211E-3</v>
      </c>
      <c r="E95" s="26">
        <f t="shared" si="146"/>
        <v>5.2932441825432122E-3</v>
      </c>
      <c r="F95" s="26">
        <f t="shared" si="146"/>
        <v>7.3489694238911829E-3</v>
      </c>
      <c r="G95" s="26">
        <f t="shared" si="146"/>
        <v>6.0906607480838348E-3</v>
      </c>
      <c r="H95" s="26">
        <f t="shared" si="146"/>
        <v>6.8096252740839731E-3</v>
      </c>
      <c r="I95" s="26">
        <f t="shared" si="146"/>
        <v>6.7133404526737691E-3</v>
      </c>
      <c r="J95" s="26">
        <f t="shared" si="146"/>
        <v>6.8159497039382367E-3</v>
      </c>
      <c r="K95" s="26">
        <f t="shared" si="146"/>
        <v>6.8691196070121427E-3</v>
      </c>
      <c r="L95" s="26">
        <f t="shared" si="146"/>
        <v>6.790595905924829E-3</v>
      </c>
      <c r="M95" s="26">
        <f t="shared" si="146"/>
        <v>6.7868821499240646E-3</v>
      </c>
      <c r="N95" s="26">
        <f t="shared" si="146"/>
        <v>3.754231963500138E-3</v>
      </c>
      <c r="O95" s="26">
        <f t="shared" si="146"/>
        <v>5.7418491496065869E-3</v>
      </c>
      <c r="P95" s="26">
        <f t="shared" si="146"/>
        <v>6.7063876454847579E-3</v>
      </c>
      <c r="Q95" s="26">
        <f t="shared" si="146"/>
        <v>5.8218130590461598E-3</v>
      </c>
      <c r="R95" s="26">
        <f t="shared" si="146"/>
        <v>6.1474720533563438E-3</v>
      </c>
      <c r="S95" s="26">
        <f t="shared" si="146"/>
        <v>6.5280415462215082E-3</v>
      </c>
      <c r="T95" s="26">
        <f t="shared" si="146"/>
        <v>6.6550144655445004E-3</v>
      </c>
      <c r="U95" s="26">
        <f t="shared" si="146"/>
        <v>5.945479784225707E-3</v>
      </c>
      <c r="V95" s="26">
        <f t="shared" si="146"/>
        <v>6.1053013770221657E-3</v>
      </c>
      <c r="W95" s="26">
        <f t="shared" si="146"/>
        <v>4.8067049199819779E-3</v>
      </c>
      <c r="X95" s="26">
        <f t="shared" si="146"/>
        <v>6.9019667002318081E-3</v>
      </c>
    </row>
    <row r="96" spans="1:26" ht="15.75" customHeight="1" x14ac:dyDescent="0.25">
      <c r="V96" s="46"/>
      <c r="W96" s="46"/>
    </row>
    <row r="97" spans="2:24" ht="15.75" customHeight="1" x14ac:dyDescent="0.25">
      <c r="B97" s="16" t="s">
        <v>97</v>
      </c>
      <c r="C97" s="31"/>
      <c r="D97" s="32"/>
      <c r="E97" s="32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2:24" ht="15.75" customHeight="1" x14ac:dyDescent="0.25">
      <c r="B98" s="17" t="s">
        <v>98</v>
      </c>
      <c r="C98" s="33">
        <f t="shared" ref="C98:X98" si="147">SUM(C88:C89)/SUM(C82,C85)</f>
        <v>2.1921574437184007E-2</v>
      </c>
      <c r="D98" s="33">
        <f t="shared" si="147"/>
        <v>1.2755774470261542E-2</v>
      </c>
      <c r="E98" s="33">
        <f t="shared" si="147"/>
        <v>1.0958239801535437E-2</v>
      </c>
      <c r="F98" s="33">
        <f t="shared" si="147"/>
        <v>8.1196088295048055E-3</v>
      </c>
      <c r="G98" s="33">
        <f t="shared" si="147"/>
        <v>7.0542421854162089E-3</v>
      </c>
      <c r="H98" s="33">
        <f t="shared" si="147"/>
        <v>4.373736593131021E-2</v>
      </c>
      <c r="I98" s="33">
        <f t="shared" si="147"/>
        <v>6.9230598926361686E-2</v>
      </c>
      <c r="J98" s="33">
        <f t="shared" si="147"/>
        <v>0.36467459921528977</v>
      </c>
      <c r="K98" s="33">
        <f t="shared" si="147"/>
        <v>0.36429721666091081</v>
      </c>
      <c r="L98" s="33">
        <f t="shared" si="147"/>
        <v>0.36010028043364628</v>
      </c>
      <c r="M98" s="33">
        <f t="shared" si="147"/>
        <v>0.35336679670839516</v>
      </c>
      <c r="N98" s="33">
        <f t="shared" si="147"/>
        <v>0.228717671292574</v>
      </c>
      <c r="O98" s="33">
        <f t="shared" si="147"/>
        <v>0.21649840330692374</v>
      </c>
      <c r="P98" s="33">
        <f t="shared" si="147"/>
        <v>0.20745462081600347</v>
      </c>
      <c r="Q98" s="33">
        <f t="shared" si="147"/>
        <v>0.1995540017482999</v>
      </c>
      <c r="R98" s="33">
        <f t="shared" si="147"/>
        <v>0.18702189962216031</v>
      </c>
      <c r="S98" s="33">
        <f t="shared" si="147"/>
        <v>0.23442150332034073</v>
      </c>
      <c r="T98" s="33">
        <f t="shared" si="147"/>
        <v>0.23266493195027624</v>
      </c>
      <c r="U98" s="33">
        <f t="shared" si="147"/>
        <v>0.20877272298027094</v>
      </c>
      <c r="V98" s="33">
        <f t="shared" si="147"/>
        <v>0.1923905394771416</v>
      </c>
      <c r="W98" s="33">
        <f t="shared" si="147"/>
        <v>0.18533942417258095</v>
      </c>
      <c r="X98" s="33">
        <f t="shared" si="147"/>
        <v>0.17484048798534307</v>
      </c>
    </row>
    <row r="99" spans="2:24" ht="15.75" customHeight="1" x14ac:dyDescent="0.25">
      <c r="B99" s="18" t="s">
        <v>99</v>
      </c>
      <c r="C99" s="26">
        <f t="shared" ref="C99:X99" si="148">C86/C90</f>
        <v>0.73565500317846722</v>
      </c>
      <c r="D99" s="26">
        <f t="shared" si="148"/>
        <v>0.74135666902501929</v>
      </c>
      <c r="E99" s="26">
        <f t="shared" si="148"/>
        <v>0.73744655203945075</v>
      </c>
      <c r="F99" s="26">
        <f t="shared" si="148"/>
        <v>0.73510771127467589</v>
      </c>
      <c r="G99" s="26">
        <f t="shared" si="148"/>
        <v>0.73594589462091253</v>
      </c>
      <c r="H99" s="26">
        <f t="shared" si="148"/>
        <v>0.86862941071806032</v>
      </c>
      <c r="I99" s="26">
        <f t="shared" si="148"/>
        <v>0.9761666489987193</v>
      </c>
      <c r="J99" s="26">
        <f t="shared" si="148"/>
        <v>1.5268020651735579</v>
      </c>
      <c r="K99" s="26">
        <f t="shared" si="148"/>
        <v>1.5255849157336865</v>
      </c>
      <c r="L99" s="26">
        <f t="shared" si="148"/>
        <v>1.5156052654663101</v>
      </c>
      <c r="M99" s="26">
        <f t="shared" si="148"/>
        <v>1.5156434772076828</v>
      </c>
      <c r="N99" s="26">
        <f t="shared" si="148"/>
        <v>0.83505461297108619</v>
      </c>
      <c r="O99" s="26">
        <f t="shared" si="148"/>
        <v>1.1004890150168132</v>
      </c>
      <c r="P99" s="26">
        <f t="shared" si="148"/>
        <v>1.0968609624183958</v>
      </c>
      <c r="Q99" s="26">
        <f t="shared" si="148"/>
        <v>1.1047938736621157</v>
      </c>
      <c r="R99" s="26">
        <f t="shared" si="148"/>
        <v>1.1042444063722212</v>
      </c>
      <c r="S99" s="26">
        <f t="shared" si="148"/>
        <v>1.0698187485493789</v>
      </c>
      <c r="T99" s="26">
        <f t="shared" si="148"/>
        <v>1.1236231866491051</v>
      </c>
      <c r="U99" s="26">
        <f t="shared" si="148"/>
        <v>1.126394293147567</v>
      </c>
      <c r="V99" s="26">
        <f t="shared" si="148"/>
        <v>1.108555213858919</v>
      </c>
      <c r="W99" s="26">
        <f t="shared" si="148"/>
        <v>1.1114228214773481</v>
      </c>
      <c r="X99" s="26">
        <f t="shared" si="148"/>
        <v>1.108923552857938</v>
      </c>
    </row>
    <row r="101" spans="2:24" ht="15.75" customHeight="1" x14ac:dyDescent="0.25">
      <c r="B101" s="11" t="s">
        <v>182</v>
      </c>
      <c r="C101" s="42">
        <f>(C82+C85)-SUM(C88:C90)</f>
        <v>0</v>
      </c>
      <c r="D101" s="42">
        <f t="shared" ref="D101:X101" si="149">(D82+D85)-SUM(D88:D90)</f>
        <v>0</v>
      </c>
      <c r="E101" s="42">
        <f t="shared" si="149"/>
        <v>0</v>
      </c>
      <c r="F101" s="42">
        <f t="shared" si="149"/>
        <v>0</v>
      </c>
      <c r="G101" s="42">
        <f t="shared" si="149"/>
        <v>0</v>
      </c>
      <c r="H101" s="42">
        <f t="shared" si="149"/>
        <v>0</v>
      </c>
      <c r="I101" s="42">
        <f t="shared" si="149"/>
        <v>0</v>
      </c>
      <c r="J101" s="42">
        <f t="shared" si="149"/>
        <v>0</v>
      </c>
      <c r="K101" s="42">
        <f t="shared" si="149"/>
        <v>0</v>
      </c>
      <c r="L101" s="42">
        <f t="shared" si="149"/>
        <v>0</v>
      </c>
      <c r="M101" s="42">
        <f t="shared" si="149"/>
        <v>0</v>
      </c>
      <c r="N101" s="42">
        <f t="shared" si="149"/>
        <v>0</v>
      </c>
      <c r="O101" s="42">
        <f t="shared" si="149"/>
        <v>0</v>
      </c>
      <c r="P101" s="42">
        <f t="shared" si="149"/>
        <v>0</v>
      </c>
      <c r="Q101" s="42">
        <f t="shared" si="149"/>
        <v>0</v>
      </c>
      <c r="R101" s="42">
        <f t="shared" si="149"/>
        <v>0</v>
      </c>
      <c r="S101" s="42">
        <f t="shared" si="149"/>
        <v>0</v>
      </c>
      <c r="T101" s="42">
        <f t="shared" si="149"/>
        <v>0</v>
      </c>
      <c r="U101" s="42">
        <f t="shared" si="149"/>
        <v>0</v>
      </c>
      <c r="V101" s="42">
        <f t="shared" si="149"/>
        <v>0</v>
      </c>
      <c r="W101" s="42">
        <f t="shared" si="149"/>
        <v>0</v>
      </c>
      <c r="X101" s="42">
        <f t="shared" si="149"/>
        <v>0</v>
      </c>
    </row>
    <row r="102" spans="2:24" ht="15.75" customHeight="1" x14ac:dyDescent="0.25">
      <c r="B102" s="11" t="s">
        <v>182</v>
      </c>
      <c r="C102" s="42">
        <f>C82+C85-C88-C89-C90</f>
        <v>0</v>
      </c>
      <c r="D102" s="42">
        <f t="shared" ref="D102:X102" si="150">D82+D85-D88-D89-D90</f>
        <v>0</v>
      </c>
      <c r="E102" s="42">
        <f t="shared" si="150"/>
        <v>0</v>
      </c>
      <c r="F102" s="42">
        <f t="shared" si="150"/>
        <v>0</v>
      </c>
      <c r="G102" s="42">
        <f t="shared" si="150"/>
        <v>0</v>
      </c>
      <c r="H102" s="42">
        <f t="shared" si="150"/>
        <v>0</v>
      </c>
      <c r="I102" s="42">
        <f t="shared" si="150"/>
        <v>0</v>
      </c>
      <c r="J102" s="42">
        <f t="shared" si="150"/>
        <v>0</v>
      </c>
      <c r="K102" s="42">
        <f t="shared" si="150"/>
        <v>0</v>
      </c>
      <c r="L102" s="42">
        <f t="shared" si="150"/>
        <v>0</v>
      </c>
      <c r="M102" s="42">
        <f t="shared" si="150"/>
        <v>0</v>
      </c>
      <c r="N102" s="42">
        <f t="shared" si="150"/>
        <v>0</v>
      </c>
      <c r="O102" s="42">
        <f t="shared" si="150"/>
        <v>0</v>
      </c>
      <c r="P102" s="42">
        <f t="shared" si="150"/>
        <v>0</v>
      </c>
      <c r="Q102" s="42">
        <f t="shared" si="150"/>
        <v>0</v>
      </c>
      <c r="R102" s="42">
        <f t="shared" si="150"/>
        <v>0</v>
      </c>
      <c r="S102" s="42">
        <f t="shared" si="150"/>
        <v>0</v>
      </c>
      <c r="T102" s="42">
        <f t="shared" si="150"/>
        <v>0</v>
      </c>
      <c r="U102" s="42">
        <f t="shared" si="150"/>
        <v>0</v>
      </c>
      <c r="V102" s="42">
        <f t="shared" si="150"/>
        <v>0</v>
      </c>
      <c r="W102" s="42">
        <f t="shared" si="150"/>
        <v>0</v>
      </c>
      <c r="X102" s="42">
        <f t="shared" si="150"/>
        <v>0</v>
      </c>
    </row>
    <row r="103" spans="2:24" ht="15.75" customHeight="1" x14ac:dyDescent="0.25">
      <c r="Q103" s="42"/>
      <c r="R103" s="42"/>
      <c r="S103" s="42"/>
      <c r="T103" s="42"/>
      <c r="U103" s="42"/>
      <c r="V103" s="42"/>
      <c r="W103" s="42"/>
      <c r="X103" s="42"/>
    </row>
    <row r="104" spans="2:24" ht="15.75" customHeight="1" x14ac:dyDescent="0.25">
      <c r="X104" s="53"/>
    </row>
  </sheetData>
  <mergeCells count="1">
    <mergeCell ref="B51:B5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85:H85 C98:H98 I98:O98 I85:J85 K85:X85 Q98:S98 U101:X101 U98:V98 C101:I101 L101:O101 Q101" formulaRange="1"/>
    <ignoredError sqref="R74" formula="1"/>
    <ignoredError sqref="W95:X95 W99:X99" evalError="1"/>
    <ignoredError sqref="W98:X98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Características</vt:lpstr>
      <vt:lpstr>Portfolio</vt:lpstr>
      <vt:lpstr>Indicadores Financeiros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Teatini</dc:creator>
  <cp:lastModifiedBy>Lucas Paravizo</cp:lastModifiedBy>
  <dcterms:created xsi:type="dcterms:W3CDTF">2018-06-06T21:22:45Z</dcterms:created>
  <dcterms:modified xsi:type="dcterms:W3CDTF">2020-04-20T20:00:07Z</dcterms:modified>
</cp:coreProperties>
</file>