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002244\Desktop\Periodo Crise\XPLG11\Planilha de Fundamentos\"/>
    </mc:Choice>
  </mc:AlternateContent>
  <bookViews>
    <workbookView xWindow="0" yWindow="0" windowWidth="19200" windowHeight="10470"/>
  </bookViews>
  <sheets>
    <sheet name="Características" sheetId="1" r:id="rId1"/>
    <sheet name="Portfolio" sheetId="13" r:id="rId2"/>
    <sheet name="Empreendimentos" sheetId="6" r:id="rId3"/>
    <sheet name="Indicadores Financeiros" sheetId="8" r:id="rId4"/>
  </sheets>
  <definedNames>
    <definedName name="\0" localSheetId="3">#REF!</definedName>
    <definedName name="\0">#REF!</definedName>
    <definedName name="\A" localSheetId="3">#REF!</definedName>
    <definedName name="\A">#REF!</definedName>
    <definedName name="\B" localSheetId="3">#REF!</definedName>
    <definedName name="\B">#REF!</definedName>
    <definedName name="\d">#N/A</definedName>
    <definedName name="\e">#N/A</definedName>
    <definedName name="\f">#N/A</definedName>
    <definedName name="\j" localSheetId="3">#REF!</definedName>
    <definedName name="\j">#REF!</definedName>
    <definedName name="\k" localSheetId="3">#REF!</definedName>
    <definedName name="\k">#REF!</definedName>
    <definedName name="\m" localSheetId="3">#REF!</definedName>
    <definedName name="\m">#REF!</definedName>
    <definedName name="\n" localSheetId="3">#REF!</definedName>
    <definedName name="\n">#REF!</definedName>
    <definedName name="\P" localSheetId="3">#REF!</definedName>
    <definedName name="\P">#REF!</definedName>
    <definedName name="\Q" localSheetId="3">#REF!</definedName>
    <definedName name="\Q">#REF!</definedName>
    <definedName name="\S" localSheetId="3">#REF!</definedName>
    <definedName name="\S">#REF!</definedName>
    <definedName name="\W" localSheetId="3">#REF!</definedName>
    <definedName name="\W">#REF!</definedName>
    <definedName name="_6_0HOLAMBRA" localSheetId="3">#REF!</definedName>
    <definedName name="_6_0HOLAMBRA">#REF!</definedName>
    <definedName name="_89ACT">#N/A</definedName>
    <definedName name="_9HOLAMBRA" localSheetId="3">#REF!</definedName>
    <definedName name="_9HOLAMBRA">#REF!</definedName>
    <definedName name="_cif5" localSheetId="3">#REF!,#REF!,#REF!,#REF!</definedName>
    <definedName name="_cif5">#REF!,#REF!,#REF!,#REF!</definedName>
    <definedName name="_DAT10" localSheetId="3">#REF!</definedName>
    <definedName name="_DAT10">#REF!</definedName>
    <definedName name="_DAT12" localSheetId="3">#REF!</definedName>
    <definedName name="_DAT12">#REF!</definedName>
    <definedName name="_DAT3" localSheetId="3">#REF!</definedName>
    <definedName name="_DAT3">#REF!</definedName>
    <definedName name="_DAT6" localSheetId="3">#REF!</definedName>
    <definedName name="_DAT6">#REF!</definedName>
    <definedName name="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21" hidden="1">{"Despesas Diferidas Indedutíveis de 1998",#N/A,FALSE,"Impressão"}</definedName>
    <definedName name="_xlnm._FilterDatabase" localSheetId="3" hidden="1">#REF!</definedName>
    <definedName name="_xlnm._FilterDatabase" hidden="1">#REF!</definedName>
    <definedName name="_GTO1" localSheetId="3">#REF!</definedName>
    <definedName name="_GTO1">#REF!</definedName>
    <definedName name="_GTO2" localSheetId="3">#REF!</definedName>
    <definedName name="_GTO2">#REF!</definedName>
    <definedName name="_k2" localSheetId="3">#REF!</definedName>
    <definedName name="_k2">#REF!</definedName>
    <definedName name="_Key1" localSheetId="3" hidden="1">#REF!</definedName>
    <definedName name="_Key1" hidden="1">#REF!</definedName>
    <definedName name="_NAT30" localSheetId="3">#REF!</definedName>
    <definedName name="_NAT30">#REF!</definedName>
    <definedName name="_nu2" localSheetId="3">#REF!</definedName>
    <definedName name="_nu2">#REF!</definedName>
    <definedName name="_nu3" localSheetId="3">#REF!</definedName>
    <definedName name="_nu3">#REF!</definedName>
    <definedName name="_nu4" localSheetId="3">#REF!</definedName>
    <definedName name="_nu4">#REF!</definedName>
    <definedName name="_nu5" localSheetId="3">#REF!</definedName>
    <definedName name="_nu5">#REF!</definedName>
    <definedName name="_nu6" localSheetId="3">#REF!</definedName>
    <definedName name="_nu6">#REF!</definedName>
    <definedName name="_nu7" localSheetId="3">#REF!</definedName>
    <definedName name="_nu7">#REF!</definedName>
    <definedName name="_nu8" localSheetId="3">#REF!</definedName>
    <definedName name="_nu8">#REF!</definedName>
    <definedName name="_Order1" hidden="1">255</definedName>
    <definedName name="_RES96" localSheetId="3">#REF!</definedName>
    <definedName name="_RES96">#REF!</definedName>
    <definedName name="_SCH109" localSheetId="3">#REF!</definedName>
    <definedName name="_SCH109">#REF!</definedName>
    <definedName name="_sec2" localSheetId="3">#REF!</definedName>
    <definedName name="_sec2">#REF!</definedName>
    <definedName name="_sem1" localSheetId="3">#REF!</definedName>
    <definedName name="_sem1">#REF!</definedName>
    <definedName name="_sem2" localSheetId="3">#REF!</definedName>
    <definedName name="_sem2">#REF!</definedName>
    <definedName name="_Sort" localSheetId="3" hidden="1">#REF!</definedName>
    <definedName name="_Sort" hidden="1">#REF!</definedName>
    <definedName name="_td2" localSheetId="3">#REF!,#REF!,#REF!,#REF!</definedName>
    <definedName name="_td2">#REF!,#REF!,#REF!,#REF!</definedName>
    <definedName name="_tp2" localSheetId="3">#REF!,#REF!,#REF!,#REF!</definedName>
    <definedName name="_tp2">#REF!,#REF!,#REF!,#REF!</definedName>
    <definedName name="_un2" localSheetId="3">#REF!</definedName>
    <definedName name="_un2">#REF!</definedName>
    <definedName name="_VEC20" localSheetId="3">#REF!</definedName>
    <definedName name="_VEC20">#REF!</definedName>
    <definedName name="_wa1" localSheetId="3">#REF!,#REF!,#REF!,#REF!</definedName>
    <definedName name="_wa1">#REF!,#REF!,#REF!,#REF!</definedName>
    <definedName name="_wa2" localSheetId="3">#REF!,#REF!,#REF!,#REF!</definedName>
    <definedName name="_wa2">#REF!,#REF!,#REF!,#REF!</definedName>
    <definedName name="_wa3" localSheetId="3">#REF!</definedName>
    <definedName name="_wa3">#REF!</definedName>
    <definedName name="_wa4" localSheetId="3">#REF!,#REF!,#REF!,#REF!</definedName>
    <definedName name="_wa4">#REF!,#REF!,#REF!,#REF!</definedName>
    <definedName name="_wa5" localSheetId="3">#REF!,#REF!,#REF!,#REF!</definedName>
    <definedName name="_wa5">#REF!,#REF!,#REF!,#REF!</definedName>
    <definedName name="_woa1" localSheetId="3">#REF!</definedName>
    <definedName name="_woa1">#REF!</definedName>
    <definedName name="_woa2" localSheetId="3">#REF!,#REF!,#REF!,#REF!</definedName>
    <definedName name="_woa2">#REF!,#REF!,#REF!,#REF!</definedName>
    <definedName name="a1Área_de_impressão" localSheetId="3">#REF!</definedName>
    <definedName name="a1Área_de_impressão">#REF!</definedName>
    <definedName name="aaa" localSheetId="3">#REF!,#REF!,#REF!,#REF!</definedName>
    <definedName name="aaa">#REF!,#REF!,#REF!,#REF!</definedName>
    <definedName name="ACCSER" localSheetId="3">#REF!</definedName>
    <definedName name="ACCSER">#REF!</definedName>
    <definedName name="acdd" hidden="1">{"SCH27",#N/A,FALSE,"summary";"SCH39",#N/A,FALSE,"summary";"SCH41",#N/A,FALSE,"summary"}</definedName>
    <definedName name="AcrescCel_Anexo2" localSheetId="3">#REF!</definedName>
    <definedName name="AcrescCel_Anexo2">#REF!</definedName>
    <definedName name="ACT" localSheetId="3">#REF!</definedName>
    <definedName name="ACT">#REF!</definedName>
    <definedName name="ACTUALS">#N/A</definedName>
    <definedName name="Address_Ref" localSheetId="3">#REF!</definedName>
    <definedName name="Address_Ref">#REF!</definedName>
    <definedName name="adfjvhbqehrvbeh" hidden="1">{"SCH73",#N/A,FALSE,"eva";"SCH74",#N/A,FALSE,"eva";"SCH75",#N/A,FALSE,"eva"}</definedName>
    <definedName name="Administrativo_e_Financeiro" localSheetId="3">#REF!</definedName>
    <definedName name="Administrativo_e_Financeiro">#REF!</definedName>
    <definedName name="adriana" hidden="1">{"SCH47",#N/A,FALSE,"value";"sch48",#N/A,FALSE,"value"}</definedName>
    <definedName name="adto" localSheetId="3">#REF!</definedName>
    <definedName name="adto">#REF!</definedName>
    <definedName name="ahgvcbjknerv" localSheetId="3">#REF!</definedName>
    <definedName name="ahgvcbjknerv">#REF!</definedName>
    <definedName name="ai" localSheetId="3">#REF!</definedName>
    <definedName name="ai">#REF!</definedName>
    <definedName name="ALPHA" localSheetId="3">#REF!</definedName>
    <definedName name="ALPHA">#REF!</definedName>
    <definedName name="amarilio" hidden="1">{"SCH73",#N/A,FALSE,"eva";"SCH74",#N/A,FALSE,"eva";"SCH75",#N/A,FALSE,"eva"}</definedName>
    <definedName name="AMARRE" localSheetId="3">#REF!</definedName>
    <definedName name="AMARRE">#REF!</definedName>
    <definedName name="AMARRE_1" localSheetId="3">#REF!</definedName>
    <definedName name="AMARRE_1">#REF!</definedName>
    <definedName name="Amt_Orig" localSheetId="3">#REF!</definedName>
    <definedName name="Amt_Orig">#REF!</definedName>
    <definedName name="Amt_Rem" localSheetId="3">#REF!</definedName>
    <definedName name="Amt_Rem">#REF!</definedName>
    <definedName name="AREA" localSheetId="3">#REF!</definedName>
    <definedName name="AREA">#REF!</definedName>
    <definedName name="_xlnm.Print_Area" localSheetId="3">#REF!</definedName>
    <definedName name="_xlnm.Print_Area">#REF!</definedName>
    <definedName name="Área_impressão_IM" localSheetId="3">#REF!</definedName>
    <definedName name="Área_impressão_IM">#REF!</definedName>
    <definedName name="ARET" localSheetId="3">#REF!</definedName>
    <definedName name="ARET">#REF!</definedName>
    <definedName name="as" localSheetId="3">#REF!</definedName>
    <definedName name="as">#REF!</definedName>
    <definedName name="As_notas_explicativas_anexas_são_parte_integrante_destes_balanços." localSheetId="3">#REF!</definedName>
    <definedName name="As_notas_explicativas_anexas_são_parte_integrante_destes_balanços.">#REF!</definedName>
    <definedName name="ASDFGIWJGWRKLGMKRWMGMGB" hidden="1">{#N/A,#N/A,FALSE,"Skjema 6.5"}</definedName>
    <definedName name="asdkasfkacc" hidden="1">{"SCH73",#N/A,FALSE,"eva";"SCH74",#N/A,FALSE,"eva";"SCH75",#N/A,FALSE,"eva"}</definedName>
    <definedName name="asdssnajsvnqjevnqjlebvqreçgvj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skajsdjadwbefdwefvfd" hidden="1">{#N/A,#N/A,FALSE,"Skjema 6.5"}</definedName>
    <definedName name="ASSDFLÇKGNEQGEGEKGKGNEQ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asxdx" hidden="1">{"SCH29",#N/A,FALSE,"segments";"SCH30",#N/A,FALSE,"segments"}</definedName>
    <definedName name="ATCONSO" localSheetId="3">#REF!</definedName>
    <definedName name="ATCONSO">#REF!</definedName>
    <definedName name="Atendimento_a_Clientes" localSheetId="3">#REF!</definedName>
    <definedName name="Atendimento_a_Clientes">#REF!</definedName>
    <definedName name="ATIMFL" localSheetId="3">#REF!</definedName>
    <definedName name="ATIMFL">#REF!</definedName>
    <definedName name="Ativo" localSheetId="3">#REF!</definedName>
    <definedName name="Ativo">#REF!</definedName>
    <definedName name="ATIVO_PASSIVO" localSheetId="3">#REF!</definedName>
    <definedName name="ATIVO_PASSIVO">#REF!</definedName>
    <definedName name="ATSGM" localSheetId="3">#REF!</definedName>
    <definedName name="ATSGM">#REF!</definedName>
    <definedName name="Aumento40" localSheetId="3">#REF!</definedName>
    <definedName name="Aumento40">#REF!</definedName>
    <definedName name="Aumento60" localSheetId="3">#REF!</definedName>
    <definedName name="Aumento60">#REF!</definedName>
    <definedName name="_xlnm.Database" localSheetId="3">#REF!</definedName>
    <definedName name="_xlnm.Database">#REF!</definedName>
    <definedName name="banco_marflex" localSheetId="3">#REF!</definedName>
    <definedName name="banco_marflex">#REF!</definedName>
    <definedName name="BASE_ICM" localSheetId="3">#REF!</definedName>
    <definedName name="BASE_ICM">#REF!</definedName>
    <definedName name="bpap" localSheetId="3">#REF!</definedName>
    <definedName name="bpap">#REF!</definedName>
    <definedName name="Branch" localSheetId="3">#REF!</definedName>
    <definedName name="Branch">#REF!</definedName>
    <definedName name="BUDGET">#N/A</definedName>
    <definedName name="C_FISCAL" localSheetId="3">#REF!</definedName>
    <definedName name="C_FISCAL">#REF!</definedName>
    <definedName name="cabeçalho" localSheetId="3">#REF!</definedName>
    <definedName name="cabeçalho">#REF!</definedName>
    <definedName name="cafsf" localSheetId="3">#REF!</definedName>
    <definedName name="cafsf">#REF!</definedName>
    <definedName name="CAP" localSheetId="3">#REF!</definedName>
    <definedName name="CAP">#REF!</definedName>
    <definedName name="Capex" localSheetId="3">#REF!</definedName>
    <definedName name="Capex">#REF!</definedName>
    <definedName name="casdncisdcjnweiciejicjewijcwejcewjcj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Cash_Flow" localSheetId="3">#REF!</definedName>
    <definedName name="Cash_Flow">#REF!</definedName>
    <definedName name="cc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CENTRO">"227000"</definedName>
    <definedName name="CFBY">#N/A</definedName>
    <definedName name="CFC" localSheetId="3">#REF!</definedName>
    <definedName name="CFC">#REF!</definedName>
    <definedName name="CFCY">#N/A</definedName>
    <definedName name="CHECK" localSheetId="3">#REF!</definedName>
    <definedName name="CHECK">#REF!</definedName>
    <definedName name="CHECK2" localSheetId="3">#REF!</definedName>
    <definedName name="CHECK2">#REF!</definedName>
    <definedName name="chiroy" localSheetId="3">#REF!,#REF!,#REF!,#REF!</definedName>
    <definedName name="chiroy">#REF!,#REF!,#REF!,#REF!</definedName>
    <definedName name="CIFRA" localSheetId="3">#REF!</definedName>
    <definedName name="CIFRA">#REF!</definedName>
    <definedName name="CIFSEC" localSheetId="3">#REF!</definedName>
    <definedName name="CIFSEC">#REF!</definedName>
    <definedName name="CLIENTE" localSheetId="3">#REF!</definedName>
    <definedName name="CLIENTE">#REF!</definedName>
    <definedName name="COD_CLI" localSheetId="3">#REF!</definedName>
    <definedName name="COD_CLI">#REF!</definedName>
    <definedName name="Collection" localSheetId="3">#REF!</definedName>
    <definedName name="Collection">#REF!</definedName>
    <definedName name="COMP" localSheetId="3">#REF!</definedName>
    <definedName name="COMP">#REF!</definedName>
    <definedName name="COMPET" localSheetId="3">#REF!</definedName>
    <definedName name="COMPET">#REF!</definedName>
    <definedName name="conc" localSheetId="3">#REF!</definedName>
    <definedName name="conc">#REF!</definedName>
    <definedName name="cONT" localSheetId="3">#REF!</definedName>
    <definedName name="cONT">#REF!</definedName>
    <definedName name="CONT02092000.4" hidden="1">{#N/A,#N/A,FALSE,"1321";#N/A,#N/A,FALSE,"1324";#N/A,#N/A,FALSE,"1333";#N/A,#N/A,FALSE,"1371"}</definedName>
    <definedName name="CONTAS">""</definedName>
    <definedName name="Conteudo" localSheetId="3">#REF!</definedName>
    <definedName name="Conteudo">#REF!</definedName>
    <definedName name="conteudoadto" localSheetId="3">#REF!</definedName>
    <definedName name="conteudoadto">#REF!</definedName>
    <definedName name="Conteudocx" localSheetId="3">#REF!</definedName>
    <definedName name="Conteudocx">#REF!</definedName>
    <definedName name="conteudocx1" localSheetId="3">#REF!</definedName>
    <definedName name="conteudocx1">#REF!</definedName>
    <definedName name="ConteudoFM" localSheetId="3">#REF!</definedName>
    <definedName name="ConteudoFM">#REF!</definedName>
    <definedName name="Control" localSheetId="3">#REF!</definedName>
    <definedName name="Control">#REF!</definedName>
    <definedName name="conversão" localSheetId="3">#REF!</definedName>
    <definedName name="conversão">#REF!</definedName>
    <definedName name="CONVERSÃO_DE_OLEO_P_GÁS___N.PROJETOS" localSheetId="3">#REF!</definedName>
    <definedName name="CONVERSÃO_DE_OLEO_P_GÁS___N.PROJETOS">#REF!</definedName>
    <definedName name="copy" localSheetId="3">#REF!</definedName>
    <definedName name="copy">#REF!</definedName>
    <definedName name="COR_MON_064" localSheetId="3">#REF!</definedName>
    <definedName name="COR_MON_064">#REF!</definedName>
    <definedName name="Corporativo" localSheetId="3">#REF!</definedName>
    <definedName name="Corporativo">#REF!</definedName>
    <definedName name="COSTOS" localSheetId="3">#REF!</definedName>
    <definedName name="COSTOS">#REF!</definedName>
    <definedName name="ctry" localSheetId="3">#REF!</definedName>
    <definedName name="ctry">#REF!</definedName>
    <definedName name="CUADRO_1" localSheetId="3">#REF!</definedName>
    <definedName name="CUADRO_1">#REF!</definedName>
    <definedName name="CUADRO_2" localSheetId="3">#REF!</definedName>
    <definedName name="CUADRO_2">#REF!</definedName>
    <definedName name="CUADRO_3" localSheetId="3">#REF!</definedName>
    <definedName name="CUADRO_3">#REF!</definedName>
    <definedName name="Cupom_periodo" localSheetId="3">#REF!</definedName>
    <definedName name="Cupom_periodo">#REF!</definedName>
    <definedName name="Customer_name" localSheetId="3">#REF!</definedName>
    <definedName name="Customer_name">#REF!</definedName>
    <definedName name="CVTS" localSheetId="3">#REF!</definedName>
    <definedName name="CVTS">#REF!</definedName>
    <definedName name="cwwqq" hidden="1">{"SCH47",#N/A,FALSE,"value";"sch48",#N/A,FALSE,"value"}</definedName>
    <definedName name="CXC" localSheetId="3">#REF!</definedName>
    <definedName name="CXC">#REF!</definedName>
    <definedName name="D500_60" localSheetId="3">#REF!</definedName>
    <definedName name="D500_60">#REF!</definedName>
    <definedName name="da" localSheetId="3">#REF!</definedName>
    <definedName name="da">#REF!</definedName>
    <definedName name="dafjnvqernviqrejviojqervojrvjrjv" hidden="1">{"SCH15",#N/A,FALSE,"SCH15,16,85,86";"SCH16",#N/A,FALSE,"SCH15,16,85,86";"SCH85",#N/A,FALSE,"SCH15,16,85,86";"SCH86",#N/A,FALSE,"SCH15,16,85,86"}</definedName>
    <definedName name="data_hoje" localSheetId="3">#REF!</definedName>
    <definedName name="data_hoje">#REF!</definedName>
    <definedName name="Data_inicial" localSheetId="3">#REF!</definedName>
    <definedName name="Data_inicial">#REF!</definedName>
    <definedName name="Days_O" localSheetId="3">#REF!</definedName>
    <definedName name="Days_O">#REF!</definedName>
    <definedName name="DBN_ESTUDOS_E_PROJETOS" localSheetId="3">#REF!</definedName>
    <definedName name="DBN_ESTUDOS_E_PROJETOS">#REF!</definedName>
    <definedName name="DBN_MAQ._EQUIP._NACIONAIS" localSheetId="3">#REF!</definedName>
    <definedName name="DBN_MAQ._EQUIP._NACIONAIS">#REF!</definedName>
    <definedName name="DBN_MAQ._EQUIPAMENTOS_IMPORTADOS" localSheetId="3">#REF!</definedName>
    <definedName name="DBN_MAQ._EQUIPAMENTOS_IMPORTADOS">#REF!</definedName>
    <definedName name="DBN_OBRAS_CIVIS_INSTALAÇÕES" localSheetId="3">#REF!</definedName>
    <definedName name="DBN_OBRAS_CIVIS_INSTALAÇÕES">#REF!</definedName>
    <definedName name="DC" localSheetId="3">#REF!</definedName>
    <definedName name="DC">#REF!</definedName>
    <definedName name="DEFINE_I_II_ESTUDOS_E_PROJETOS" localSheetId="3">#REF!</definedName>
    <definedName name="DEFINE_I_II_ESTUDOS_E_PROJETOS">#REF!</definedName>
    <definedName name="DEFINE_III___MAQ._EQUIPAMENTOS_NACIONAIS" localSheetId="3">#REF!</definedName>
    <definedName name="DEFINE_III___MAQ._EQUIPAMENTOS_NACIONAIS">#REF!</definedName>
    <definedName name="DESC" localSheetId="3">#REF!</definedName>
    <definedName name="DESC">#REF!</definedName>
    <definedName name="Deuda.xls" localSheetId="3">#REF!</definedName>
    <definedName name="Deuda.xls">#REF!</definedName>
    <definedName name="Diferido_amort" localSheetId="3">#REF!</definedName>
    <definedName name="Diferido_amort">#REF!</definedName>
    <definedName name="DIRECTO" localSheetId="3">#REF!</definedName>
    <definedName name="DIRECTO">#REF!</definedName>
    <definedName name="Diretoria" localSheetId="3">#REF!</definedName>
    <definedName name="Diretoria">#REF!</definedName>
    <definedName name="DRE" localSheetId="3">#REF!</definedName>
    <definedName name="DRE">#REF!</definedName>
    <definedName name="dsaf" hidden="1">{"SCH27",#N/A,FALSE,"summary";"SCH39",#N/A,FALSE,"summary";"SCH41",#N/A,FALSE,"summary"}</definedName>
    <definedName name="dsfas" localSheetId="3">#REF!</definedName>
    <definedName name="dsfas">#REF!</definedName>
    <definedName name="DU" localSheetId="3">#REF!</definedName>
    <definedName name="DU">#REF!</definedName>
    <definedName name="Due_Date" localSheetId="3">#REF!</definedName>
    <definedName name="Due_Date">#REF!</definedName>
    <definedName name="E.PDD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E1.1.4" hidden="1">{"SCH73",#N/A,FALSE,"eva";"SCH74",#N/A,FALSE,"eva";"SCH75",#N/A,FALSE,"eva"}</definedName>
    <definedName name="ED" localSheetId="3">#REF!</definedName>
    <definedName name="ED">#REF!</definedName>
    <definedName name="EDS" localSheetId="3">#REF!</definedName>
    <definedName name="EDS">#REF!</definedName>
    <definedName name="ee" localSheetId="3">#REF!</definedName>
    <definedName name="ee">#REF!</definedName>
    <definedName name="efqvjnerjvn31nikj43f" hidden="1">{#N/A,#N/A,FALSE,"Skjema 6.5"}</definedName>
    <definedName name="ejkfbjr3gnferig34iogjop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EMPDEST">"011"</definedName>
    <definedName name="EMPRESA">"011"</definedName>
    <definedName name="Enter_Number" localSheetId="3">#REF!</definedName>
    <definedName name="Enter_Number">#REF!</definedName>
    <definedName name="eprg2eorjg" localSheetId="3">#REF!</definedName>
    <definedName name="eprg2eorjg">#REF!</definedName>
    <definedName name="ER_1" localSheetId="3">#REF!</definedName>
    <definedName name="ER_1">#REF!</definedName>
    <definedName name="ER_2" localSheetId="3">#REF!</definedName>
    <definedName name="ER_2">#REF!</definedName>
    <definedName name="ESTADO" localSheetId="3">#REF!</definedName>
    <definedName name="ESTADO">#REF!</definedName>
    <definedName name="eu" localSheetId="3">#REF!</definedName>
    <definedName name="eu">#REF!</definedName>
    <definedName name="fechamento" localSheetId="3">#REF!</definedName>
    <definedName name="fechamento">#REF!</definedName>
    <definedName name="FF_PAGT" localSheetId="3">#REF!</definedName>
    <definedName name="FF_PAGT">#REF!</definedName>
    <definedName name="FF_VENDA" localSheetId="3">#REF!</definedName>
    <definedName name="FF_VENDA">#REF!</definedName>
    <definedName name="ffffffffffffffffffffffffffffffffffff" localSheetId="3">#REF!</definedName>
    <definedName name="ffffffffffffffffffffffffffffffffffff">#REF!</definedName>
    <definedName name="FIVEBYTHREE1" localSheetId="3">#REF!</definedName>
    <definedName name="FIVEBYTHREE1">#REF!</definedName>
    <definedName name="FLASH">#N/A</definedName>
    <definedName name="FOREIGNINTERCOMONTH" localSheetId="3">#REF!</definedName>
    <definedName name="FOREIGNINTERCOMONTH">#REF!</definedName>
    <definedName name="FOREIGNINTERCOYEAR" localSheetId="3">#REF!</definedName>
    <definedName name="FOREIGNINTERCOYEAR">#REF!</definedName>
    <definedName name="FORMA" localSheetId="3">#REF!</definedName>
    <definedName name="FORMA">#REF!</definedName>
    <definedName name="FORMULAS" localSheetId="3">#REF!</definedName>
    <definedName name="FORMULAS">#REF!</definedName>
    <definedName name="fsfs" localSheetId="3">#REF!</definedName>
    <definedName name="fsfs">#REF!</definedName>
    <definedName name="GASTOS_1" localSheetId="3">#REF!</definedName>
    <definedName name="GASTOS_1">#REF!</definedName>
    <definedName name="GENPLANINFO" localSheetId="3">#REF!</definedName>
    <definedName name="GENPLANINFO">#REF!</definedName>
    <definedName name="GERAL">#N/A</definedName>
    <definedName name="GOTS" localSheetId="3">#REF!</definedName>
    <definedName name="GOTS">#REF!</definedName>
    <definedName name="_xlnm.Recorder" localSheetId="3">#REF!</definedName>
    <definedName name="_xlnm.Recorder">#REF!</definedName>
    <definedName name="HTBAL" localSheetId="3">#REF!</definedName>
    <definedName name="HTBAL">#REF!</definedName>
    <definedName name="HTRES" localSheetId="3">#REF!</definedName>
    <definedName name="HTRES">#REF!</definedName>
    <definedName name="HTSEC" localSheetId="3">#REF!</definedName>
    <definedName name="HTSEC">#REF!</definedName>
    <definedName name="HTSECN" localSheetId="3">#REF!</definedName>
    <definedName name="HTSECN">#REF!</definedName>
    <definedName name="I_9" localSheetId="3">#REF!</definedName>
    <definedName name="I_9">#REF!</definedName>
    <definedName name="I_SEC" localSheetId="3">#REF!</definedName>
    <definedName name="I_SEC">#REF!</definedName>
    <definedName name="ICM" localSheetId="3">#REF!</definedName>
    <definedName name="ICM">#REF!</definedName>
    <definedName name="ICM_RETIDO" localSheetId="3">#REF!</definedName>
    <definedName name="ICM_RETIDO">#REF!</definedName>
    <definedName name="imp" localSheetId="3">#REF!</definedName>
    <definedName name="imp">#REF!</definedName>
    <definedName name="Impostos" localSheetId="3">#REF!</definedName>
    <definedName name="Impostos">#REF!</definedName>
    <definedName name="IndicadoresFinanceiros">#REF!</definedName>
    <definedName name="INDICE">"001"</definedName>
    <definedName name="INGR2" localSheetId="3">#REF!</definedName>
    <definedName name="INGR2">#REF!</definedName>
    <definedName name="INGRESOS" localSheetId="3">#REF!</definedName>
    <definedName name="INGRESOS">#REF!</definedName>
    <definedName name="INT" localSheetId="3">#REF!</definedName>
    <definedName name="INT">#REF!</definedName>
    <definedName name="INTDIP" localSheetId="3">#REF!</definedName>
    <definedName name="INTDIP">#REF!</definedName>
    <definedName name="INTER" localSheetId="3">#REF!</definedName>
    <definedName name="INTER">#REF!</definedName>
    <definedName name="Inv_date" localSheetId="3">#REF!</definedName>
    <definedName name="Inv_date">#REF!</definedName>
    <definedName name="Inv_No." localSheetId="3">#REF!</definedName>
    <definedName name="Inv_No.">#REF!</definedName>
    <definedName name="Investimentos" localSheetId="3">#REF!</definedName>
    <definedName name="Investimentos">#REF!</definedName>
    <definedName name="IQATUAL">#N/A</definedName>
    <definedName name="IQNOGO">FALSE</definedName>
    <definedName name="IQTRUE">TRUE</definedName>
    <definedName name="IRF" localSheetId="3">#REF!</definedName>
    <definedName name="IRF">#REF!</definedName>
    <definedName name="ISPRODLINE00" localSheetId="3">#REF!</definedName>
    <definedName name="ISPRODLINE00">#REF!</definedName>
    <definedName name="IUJHIUYH" localSheetId="3">#REF!</definedName>
    <definedName name="IUJHIUYH">#REF!</definedName>
    <definedName name="jkwefweuf14if43" hidden="1">{#N/A,#N/A,FALSE,"Skjema 6.5"}</definedName>
    <definedName name="joao" hidden="1">{"SCH49",#N/A,FALSE,"eva"}</definedName>
    <definedName name="jso" hidden="1">{"sch56",#N/A,FALSE,"savings";"sch64",#N/A,FALSE,"savings"}</definedName>
    <definedName name="JUAN" localSheetId="3">#REF!</definedName>
    <definedName name="JUAN">#REF!</definedName>
    <definedName name="L_CLIENTE" localSheetId="3">#REF!</definedName>
    <definedName name="L_CLIENTE">#REF!</definedName>
    <definedName name="L_NF" localSheetId="3">#REF!</definedName>
    <definedName name="L_NF">#REF!</definedName>
    <definedName name="L_UF" localSheetId="3">#REF!</definedName>
    <definedName name="L_UF">#REF!</definedName>
    <definedName name="LANCTOS">#N/A</definedName>
    <definedName name="ma" localSheetId="3">#REF!</definedName>
    <definedName name="ma">#REF!</definedName>
    <definedName name="Manut" localSheetId="3">#REF!</definedName>
    <definedName name="Manut">#REF!</definedName>
    <definedName name="Maria" hidden="1">{"SCH73",#N/A,FALSE,"eva";"SCH74",#N/A,FALSE,"eva";"SCH75",#N/A,FALSE,"eva"}</definedName>
    <definedName name="mariaa" hidden="1">{"SCH73",#N/A,FALSE,"eva";"SCH74",#N/A,FALSE,"eva";"SCH75",#N/A,FALSE,"eva"}</definedName>
    <definedName name="Marketing_e_Vendas" localSheetId="3">#REF!</definedName>
    <definedName name="Marketing_e_Vendas">#REF!</definedName>
    <definedName name="mary" localSheetId="3">#REF!</definedName>
    <definedName name="mary">#REF!</definedName>
    <definedName name="MATRIZ" localSheetId="3">#REF!</definedName>
    <definedName name="MATRIZ">#REF!</definedName>
    <definedName name="matriz2" localSheetId="3">#REF!</definedName>
    <definedName name="matriz2">#REF!</definedName>
    <definedName name="mbgs" localSheetId="3">#REF!</definedName>
    <definedName name="mbgs">#REF!</definedName>
    <definedName name="me" localSheetId="3">#REF!</definedName>
    <definedName name="me">#REF!</definedName>
    <definedName name="MENU" localSheetId="3">#REF!</definedName>
    <definedName name="MENU">#REF!</definedName>
    <definedName name="Mercado_Total_Município_Região_Metropolitana" localSheetId="3">#REF!</definedName>
    <definedName name="Mercado_Total_Município_Região_Metropolitana">#REF!</definedName>
    <definedName name="mês" localSheetId="3">#REF!</definedName>
    <definedName name="mês">#REF!</definedName>
    <definedName name="mi" localSheetId="3">#REF!</definedName>
    <definedName name="mi">#REF!</definedName>
    <definedName name="mo" localSheetId="3">#REF!</definedName>
    <definedName name="mo">#REF!</definedName>
    <definedName name="MONTH">#N/A</definedName>
    <definedName name="Município" localSheetId="3">#REF!</definedName>
    <definedName name="Município">#REF!</definedName>
    <definedName name="my" localSheetId="3">#REF!</definedName>
    <definedName name="my">#REF!</definedName>
    <definedName name="n" localSheetId="3">#REF!</definedName>
    <definedName name="n">#REF!</definedName>
    <definedName name="N.1.2" hidden="1">{"SCH73",#N/A,FALSE,"eva";"SCH74",#N/A,FALSE,"eva";"SCH75",#N/A,FALSE,"eva"}</definedName>
    <definedName name="N.1.3" hidden="1">{"SCH27",#N/A,FALSE,"summary";"SCH39",#N/A,FALSE,"summary";"SCH41",#N/A,FALSE,"summary"}</definedName>
    <definedName name="NOVA_INSTRUMENTAÇÃO" localSheetId="3">#REF!</definedName>
    <definedName name="NOVA_INSTRUMENTAÇÃO">#REF!</definedName>
    <definedName name="NOVA_INSTRUMENTAÇÃO_EQUIPAMENTO_NAC." localSheetId="3">#REF!</definedName>
    <definedName name="NOVA_INSTRUMENTAÇÃO_EQUIPAMENTO_NAC.">#REF!</definedName>
    <definedName name="nuevo" localSheetId="3">#REF!</definedName>
    <definedName name="nuevo">#REF!</definedName>
    <definedName name="NvsASD">"V2001-01-01"</definedName>
    <definedName name="NvsAutoDrillOk">"VY"</definedName>
    <definedName name="NvsElapsedTime">0.00130138888926012</definedName>
    <definedName name="NvsEndTime">36934.6460070602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"V1900-01-01"</definedName>
    <definedName name="NvsPanelSetid">"VGERAL"</definedName>
    <definedName name="NvsReqBU">"VA"</definedName>
    <definedName name="NvsReqBUOnly">"VY"</definedName>
    <definedName name="NvsTransLed">"VN"</definedName>
    <definedName name="NvsTreeASD">"V2001-01-01"</definedName>
    <definedName name="NvsValTbl.ACCOUNT">"GL_ACCOUNT_TBL"</definedName>
    <definedName name="NvsValTbl.DEPTID">"DEPARTMENT_TBL"</definedName>
    <definedName name="OCF" localSheetId="3">#REF!</definedName>
    <definedName name="OCF">#REF!</definedName>
    <definedName name="okjh" localSheetId="3">#REF!</definedName>
    <definedName name="okjh">#REF!</definedName>
    <definedName name="osma" localSheetId="3">#REF!,#REF!,#REF!,#REF!,#REF!</definedName>
    <definedName name="osma">#REF!,#REF!,#REF!,#REF!,#REF!</definedName>
    <definedName name="osma1" localSheetId="3">#REF!,#REF!,#REF!,#REF!</definedName>
    <definedName name="osma1">#REF!,#REF!,#REF!,#REF!</definedName>
    <definedName name="osma2" localSheetId="3">#REF!,#REF!,#REF!,#REF!</definedName>
    <definedName name="osma2">#REF!,#REF!,#REF!,#REF!</definedName>
    <definedName name="osma3" localSheetId="3">#REF!</definedName>
    <definedName name="osma3">#REF!</definedName>
    <definedName name="osma4" localSheetId="3">#REF!,#REF!,#REF!,#REF!</definedName>
    <definedName name="osma4">#REF!,#REF!,#REF!,#REF!</definedName>
    <definedName name="other" hidden="1">{"SCH15",#N/A,FALSE,"SCH15,16,85,86";"SCH16",#N/A,FALSE,"SCH15,16,85,86";"SCH85",#N/A,FALSE,"SCH15,16,85,86";"SCH86",#N/A,FALSE,"SCH15,16,85,86"}</definedName>
    <definedName name="OTROS" localSheetId="3">#REF!</definedName>
    <definedName name="OTROS">#REF!</definedName>
    <definedName name="otros2" localSheetId="3">#REF!</definedName>
    <definedName name="otros2">#REF!</definedName>
    <definedName name="P" localSheetId="3">#REF!</definedName>
    <definedName name="P">#REF!</definedName>
    <definedName name="P_CÁLCULO" localSheetId="3">#REF!</definedName>
    <definedName name="P_CÁLCULO">#REF!</definedName>
    <definedName name="PAS" localSheetId="3">#REF!</definedName>
    <definedName name="PAS">#REF!</definedName>
    <definedName name="PASCONSO" localSheetId="3">#REF!</definedName>
    <definedName name="PASCONSO">#REF!</definedName>
    <definedName name="PASMFL" localSheetId="3">#REF!</definedName>
    <definedName name="PASMFL">#REF!</definedName>
    <definedName name="PASSGM" localSheetId="3">#REF!</definedName>
    <definedName name="PASSGM">#REF!</definedName>
    <definedName name="Passivo" localSheetId="3">#REF!</definedName>
    <definedName name="Passivo">#REF!</definedName>
    <definedName name="paulo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Peru1" localSheetId="3">#REF!</definedName>
    <definedName name="Peru1">#REF!</definedName>
    <definedName name="peru2" localSheetId="3">#REF!</definedName>
    <definedName name="peru2">#REF!</definedName>
    <definedName name="Peru3" localSheetId="3">#REF!</definedName>
    <definedName name="Peru3">#REF!</definedName>
    <definedName name="peru4" localSheetId="3">#REF!</definedName>
    <definedName name="peru4">#REF!</definedName>
    <definedName name="Peru5" localSheetId="3">#REF!</definedName>
    <definedName name="Peru5">#REF!</definedName>
    <definedName name="Peru6" localSheetId="3">#REF!</definedName>
    <definedName name="Peru6">#REF!</definedName>
    <definedName name="Peru7" localSheetId="3">#REF!</definedName>
    <definedName name="Peru7">#REF!</definedName>
    <definedName name="PeruD19" localSheetId="3">#REF!</definedName>
    <definedName name="PeruD19">#REF!</definedName>
    <definedName name="PLANO">""</definedName>
    <definedName name="PLCONSO" localSheetId="3">#REF!</definedName>
    <definedName name="PLCONSO">#REF!</definedName>
    <definedName name="PLMFL" localSheetId="3">#REF!</definedName>
    <definedName name="PLMFL">#REF!</definedName>
    <definedName name="PLSGM" localSheetId="3">#REF!</definedName>
    <definedName name="PLSGM">#REF!</definedName>
    <definedName name="PORRA" localSheetId="3">#REF!</definedName>
    <definedName name="PORRA">#REF!</definedName>
    <definedName name="price_list" localSheetId="3">#REF!</definedName>
    <definedName name="price_list">#REF!</definedName>
    <definedName name="Print_Area_MI" localSheetId="3">#REF!</definedName>
    <definedName name="Print_Area_MI">#REF!</definedName>
    <definedName name="printarea2" localSheetId="3">#REF!</definedName>
    <definedName name="printarea2">#REF!</definedName>
    <definedName name="printareami2" localSheetId="3">#REF!</definedName>
    <definedName name="printareami2">#REF!</definedName>
    <definedName name="Ptax_inicial" localSheetId="3">#REF!</definedName>
    <definedName name="Ptax_inicial">#REF!</definedName>
    <definedName name="qekhrgbrgr3ghj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qerkfjeqbrgjbqergebrqglblqgb" hidden="1">{#N/A,#N/A,FALSE,"Skjema 6.5"}</definedName>
    <definedName name="qerknvqrv3rjgvo3jrvo3kjrv34gvp34o43k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qewvnqwernfvirejf3j4fj34jfj4j3jo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qjkevnjqenrvnervnqreijvjrjrjvrjvj" hidden="1">{"SCH51",#N/A,FALSE,"monthly"}</definedName>
    <definedName name="qwdlkwqjfheuirfbeuyrgvehrck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qwerjnfvi3jgfvij31gfvj3rf341poj3oopjk" hidden="1">{"SCH46",#N/A,FALSE,"sch46"}</definedName>
    <definedName name="qwfjqerf31f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R_Ocultar" localSheetId="3">#REF!</definedName>
    <definedName name="R_Ocultar">#REF!</definedName>
    <definedName name="real" localSheetId="3">#REF!</definedName>
    <definedName name="real">#REF!</definedName>
    <definedName name="Real1" localSheetId="3">#REF!</definedName>
    <definedName name="Real1">#REF!</definedName>
    <definedName name="RECAPITULACAO" localSheetId="3">#REF!</definedName>
    <definedName name="RECAPITULACAO">#REF!</definedName>
    <definedName name="RECAPITULACAO2" localSheetId="3">#REF!</definedName>
    <definedName name="RECAPITULACAO2">#REF!</definedName>
    <definedName name="Região_Metropolitana" localSheetId="3">#REF!</definedName>
    <definedName name="Região_Metropolitana">#REF!</definedName>
    <definedName name="relacao" localSheetId="3">#REF!</definedName>
    <definedName name="relacao">#REF!</definedName>
    <definedName name="RES" localSheetId="3">#REF!</definedName>
    <definedName name="RES">#REF!</definedName>
    <definedName name="RestiraCel_Anexo2" localSheetId="3">#REF!</definedName>
    <definedName name="RestiraCel_Anexo2">#REF!</definedName>
    <definedName name="Roberta" hidden="1">{"SCH44",#N/A,FALSE,"5b5f";"SCH45",#N/A,FALSE,"5b5f"}</definedName>
    <definedName name="roberto" hidden="1">{"SCH44",#N/A,FALSE,"5b5f";"SCH45",#N/A,FALSE,"5b5f"}</definedName>
    <definedName name="rodolfo" localSheetId="3">#REF!,#REF!,#REF!,#REF!</definedName>
    <definedName name="rodolfo">#REF!,#REF!,#REF!,#REF!</definedName>
    <definedName name="sadsadsdsad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sdcw" hidden="1">{"SCH54",#N/A,FALSE,"upside";"SCH55",#N/A,FALSE,"upside"}</definedName>
    <definedName name="sdfnvqervnernhivf" hidden="1">{#N/A,#N/A,FALSE,"Skjema 6.5"}</definedName>
    <definedName name="SEC" localSheetId="3">#REF!</definedName>
    <definedName name="SEC">#REF!</definedName>
    <definedName name="SECCYG" localSheetId="3">#REF!</definedName>
    <definedName name="SECCYG">#REF!</definedName>
    <definedName name="seccyg2" localSheetId="3">#REF!</definedName>
    <definedName name="seccyg2">#REF!</definedName>
    <definedName name="SECING" localSheetId="3">#REF!</definedName>
    <definedName name="SECING">#REF!</definedName>
    <definedName name="secing2" localSheetId="3">#REF!</definedName>
    <definedName name="secing2">#REF!</definedName>
    <definedName name="SECN" localSheetId="3">#REF!</definedName>
    <definedName name="SECN">#REF!</definedName>
    <definedName name="SERIE" localSheetId="3">#REF!</definedName>
    <definedName name="SERIE">#REF!</definedName>
    <definedName name="SLD.000.C.0.00.0000.00.00.11183030023">6473376.94000244</definedName>
    <definedName name="SLD.000.C.0.01.0000.00.00.11183030023">757839.43999958</definedName>
    <definedName name="Split40" localSheetId="3">#REF!</definedName>
    <definedName name="Split40">#REF!</definedName>
    <definedName name="Split50" localSheetId="3">#REF!</definedName>
    <definedName name="Split50">#REF!</definedName>
    <definedName name="Split60" localSheetId="3">#REF!</definedName>
    <definedName name="Split60">#REF!</definedName>
    <definedName name="sqsqsqs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Sub_quimica" localSheetId="3">#REF!</definedName>
    <definedName name="Sub_quimica">#REF!</definedName>
    <definedName name="SUBCTA1">""</definedName>
    <definedName name="SUBCTA2">""</definedName>
    <definedName name="Subquimica" localSheetId="3">#REF!</definedName>
    <definedName name="Subquimica">#REF!</definedName>
    <definedName name="T_RETIDO" localSheetId="3">#REF!</definedName>
    <definedName name="T_RETIDO">#REF!</definedName>
    <definedName name="TAB" localSheetId="3">#REF!</definedName>
    <definedName name="TAB">#REF!</definedName>
    <definedName name="TAnterior" localSheetId="3">#REF!</definedName>
    <definedName name="TAnterior">#REF!</definedName>
    <definedName name="TAX" localSheetId="3">#REF!</definedName>
    <definedName name="TAX">#REF!</definedName>
    <definedName name="TECLAR_ALT_I" localSheetId="3">#REF!</definedName>
    <definedName name="TECLAR_ALT_I">#REF!</definedName>
    <definedName name="Tecnologia" localSheetId="3">#REF!</definedName>
    <definedName name="Tecnologia">#REF!</definedName>
    <definedName name="tel" localSheetId="3">#REF!</definedName>
    <definedName name="tel">#REF!</definedName>
    <definedName name="TEST" localSheetId="3">#REF!</definedName>
    <definedName name="TEST">#REF!</definedName>
    <definedName name="TEST0" localSheetId="3">#REF!</definedName>
    <definedName name="TEST0">#REF!</definedName>
    <definedName name="TEST2" localSheetId="3">#REF!</definedName>
    <definedName name="TEST2">#REF!</definedName>
    <definedName name="TESTHKEY" localSheetId="3">#REF!</definedName>
    <definedName name="TESTHKEY">#REF!</definedName>
    <definedName name="TESTKEYS" localSheetId="3">#REF!</definedName>
    <definedName name="TESTKEYS">#REF!</definedName>
    <definedName name="TESTVKEY" localSheetId="3">#REF!</definedName>
    <definedName name="TESTVKEY">#REF!</definedName>
    <definedName name="_xlnm.Print_Titles" localSheetId="3">#REF!</definedName>
    <definedName name="_xlnm.Print_Titles">#REF!</definedName>
    <definedName name="TODOFI" localSheetId="3">#REF!,#REF!,#REF!,#REF!</definedName>
    <definedName name="TODOFI">#REF!,#REF!,#REF!,#REF!</definedName>
    <definedName name="Total_Custos_Operacionais" localSheetId="3">#REF!</definedName>
    <definedName name="Total_Custos_Operacionais">#REF!</definedName>
    <definedName name="TRIAL10" hidden="1">{"SCH44",#N/A,FALSE,"5b5f";"SCH45",#N/A,FALSE,"5b5f"}</definedName>
    <definedName name="TRIAL11" hidden="1">{"sch56",#N/A,FALSE,"savings";"sch64",#N/A,FALSE,"savings"}</definedName>
    <definedName name="TRIAL1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13" hidden="1">{"SCH73",#N/A,FALSE,"eva";"SCH74",#N/A,FALSE,"eva";"SCH75",#N/A,FALSE,"eva"}</definedName>
    <definedName name="TRIAL14" hidden="1">{"SCH49",#N/A,FALSE,"eva"}</definedName>
    <definedName name="TRIAL15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16" hidden="1">{"SCH15",#N/A,FALSE,"SCH15,16,85,86";"SCH16",#N/A,FALSE,"SCH15,16,85,86";"SCH85",#N/A,FALSE,"SCH15,16,85,86";"SCH86",#N/A,FALSE,"SCH15,16,85,86"}</definedName>
    <definedName name="TRIAL17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18" hidden="1">{"SCH46",#N/A,FALSE,"sch46"}</definedName>
    <definedName name="TRIAL19" hidden="1">{"SCH51",#N/A,FALSE,"monthly"}</definedName>
    <definedName name="TRIAL20" hidden="1">{"SCH52",#N/A,FALSE,"sch52"}</definedName>
    <definedName name="TRIAL21" hidden="1">{"SCH29",#N/A,FALSE,"segments";"SCH30",#N/A,FALSE,"segments"}</definedName>
    <definedName name="TRIAL22" hidden="1">{"SCH27",#N/A,FALSE,"summary";"SCH39",#N/A,FALSE,"summary";"SCH41",#N/A,FALSE,"summary"}</definedName>
    <definedName name="TRIAL23" hidden="1">{"SCH54",#N/A,FALSE,"upside";"SCH55",#N/A,FALSE,"upside"}</definedName>
    <definedName name="TRIAL24" hidden="1">{"SCH47",#N/A,FALSE,"value";"sch48",#N/A,FALSE,"value"}</definedName>
    <definedName name="TRIAL25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ial30" hidden="1">{"SCH73",#N/A,FALSE,"eva";"SCH74",#N/A,FALSE,"eva";"SCH75",#N/A,FALSE,"eva"}</definedName>
    <definedName name="trial31" hidden="1">{"SCH44",#N/A,FALSE,"5b5f";"SCH45",#N/A,FALSE,"5b5f"}</definedName>
    <definedName name="trial32" hidden="1">{"SCH44",#N/A,FALSE,"5b5f";"SCH45",#N/A,FALSE,"5b5f"}</definedName>
    <definedName name="trial34" hidden="1">{"sch56",#N/A,FALSE,"savings";"sch64",#N/A,FALSE,"savings"}</definedName>
    <definedName name="trial35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36" hidden="1">{"SCH73",#N/A,FALSE,"eva";"SCH74",#N/A,FALSE,"eva";"SCH75",#N/A,FALSE,"eva"}</definedName>
    <definedName name="trial37" hidden="1">{"SCH49",#N/A,FALSE,"eva"}</definedName>
    <definedName name="trial38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39" hidden="1">{"SCH15",#N/A,FALSE,"SCH15,16,85,86";"SCH16",#N/A,FALSE,"SCH15,16,85,86";"SCH85",#N/A,FALSE,"SCH15,16,85,86";"SCH86",#N/A,FALSE,"SCH15,16,85,86"}</definedName>
    <definedName name="trial40" hidden="1">{"SCH15",#N/A,FALSE,"SCH15,16,85,86";"SCH16",#N/A,FALSE,"SCH15,16,85,86";"SCH85",#N/A,FALSE,"SCH15,16,85,86";"SCH86",#N/A,FALSE,"SCH15,16,85,86"}</definedName>
    <definedName name="trial41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42" hidden="1">{"SCH46",#N/A,FALSE,"sch46"}</definedName>
    <definedName name="trial43" hidden="1">{"SCH51",#N/A,FALSE,"monthly"}</definedName>
    <definedName name="trial44" hidden="1">{"SCH52",#N/A,FALSE,"sch52"}</definedName>
    <definedName name="trial45" hidden="1">{"SCH29",#N/A,FALSE,"segments";"SCH30",#N/A,FALSE,"segments"}</definedName>
    <definedName name="trial46" hidden="1">{"SCH27",#N/A,FALSE,"summary";"SCH39",#N/A,FALSE,"summary";"SCH41",#N/A,FALSE,"summary"}</definedName>
    <definedName name="trial47" hidden="1">{"SCH54",#N/A,FALSE,"upside";"SCH55",#N/A,FALSE,"upside"}</definedName>
    <definedName name="trial48" hidden="1">{"SCH47",#N/A,FALSE,"value";"sch48",#N/A,FALSE,"value"}</definedName>
    <definedName name="trial49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x_Type" localSheetId="3">#REF!</definedName>
    <definedName name="Trx_Type">#REF!</definedName>
    <definedName name="TTT" localSheetId="3">#REF!,#REF!,#REF!,#REF!</definedName>
    <definedName name="TTT">#REF!,#REF!,#REF!,#REF!</definedName>
    <definedName name="TUDO" localSheetId="3">#REF!</definedName>
    <definedName name="TUDO">#REF!</definedName>
    <definedName name="UF" localSheetId="3">#REF!</definedName>
    <definedName name="UF">#REF!</definedName>
    <definedName name="uhtr" hidden="1">{"SCH15",#N/A,FALSE,"SCH15,16,85,86";"SCH16",#N/A,FALSE,"SCH15,16,85,86";"SCH85",#N/A,FALSE,"SCH15,16,85,86";"SCH86",#N/A,FALSE,"SCH15,16,85,86"}</definedName>
    <definedName name="UltLin" localSheetId="3">#REF!</definedName>
    <definedName name="UltLin">#REF!</definedName>
    <definedName name="UN" localSheetId="3">#REF!</definedName>
    <definedName name="UN">#REF!</definedName>
    <definedName name="UOP___TECNOLOGIA" localSheetId="3">#REF!</definedName>
    <definedName name="UOP___TECNOLOGIA">#REF!</definedName>
    <definedName name="uuu" localSheetId="3">#REF!</definedName>
    <definedName name="uuu">#REF!</definedName>
    <definedName name="VALOR" localSheetId="3">#REF!</definedName>
    <definedName name="VALOR">#REF!</definedName>
    <definedName name="Valor_destacado_R" localSheetId="3">#REF!</definedName>
    <definedName name="Valor_destacado_R">#REF!</definedName>
    <definedName name="Valor_destacado_US" localSheetId="3">#REF!</definedName>
    <definedName name="Valor_destacado_US">#REF!</definedName>
    <definedName name="Vencimento" localSheetId="3">#REF!</definedName>
    <definedName name="Vencimento">#REF!</definedName>
    <definedName name="VENDAS" localSheetId="3">#REF!</definedName>
    <definedName name="VENDAS">#REF!</definedName>
    <definedName name="VENTES" localSheetId="3">#REF!</definedName>
    <definedName name="VENTES">#REF!</definedName>
    <definedName name="versao2" localSheetId="3">#REF!</definedName>
    <definedName name="versao2">#REF!</definedName>
    <definedName name="voucher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WAA" localSheetId="3">#REF!</definedName>
    <definedName name="WAA">#REF!</definedName>
    <definedName name="wac" localSheetId="3">#REF!</definedName>
    <definedName name="wac">#REF!</definedName>
    <definedName name="WACA" localSheetId="3">#REF!,#REF!,#REF!,#REF!</definedName>
    <definedName name="WACA">#REF!,#REF!,#REF!,#REF!</definedName>
    <definedName name="WAFITO" localSheetId="3">#REF!,#REF!,#REF!,#REF!</definedName>
    <definedName name="WAFITO">#REF!,#REF!,#REF!,#REF!</definedName>
    <definedName name="WAL" localSheetId="3">#REF!,#REF!,#REF!,#REF!</definedName>
    <definedName name="WAL">#REF!,#REF!,#REF!,#REF!</definedName>
    <definedName name="wam" localSheetId="3">#REF!,#REF!,#REF!,#REF!</definedName>
    <definedName name="wam">#REF!,#REF!,#REF!,#REF!</definedName>
    <definedName name="was" localSheetId="3">#REF!,#REF!,#REF!,#REF!</definedName>
    <definedName name="was">#REF!,#REF!,#REF!,#REF!</definedName>
    <definedName name="wasdfvklermvlmewrvlewrmlv" hidden="1">{"SCH73",#N/A,FALSE,"eva";"SCH74",#N/A,FALSE,"eva";"SCH75",#N/A,FALSE,"eva"}</definedName>
    <definedName name="wekjnvqenrviqejrgivj1341j3o4jfo34kje" hidden="1">{"SCH52",#N/A,FALSE,"sch52"}</definedName>
    <definedName name="welkfngvqekgq3jgq34jgj3o4pgj4pj" hidden="1">{"SCH49",#N/A,FALSE,"eva"}</definedName>
    <definedName name="wergwegr4g" localSheetId="3">#REF!</definedName>
    <definedName name="wergwegr4g">#REF!</definedName>
    <definedName name="Worksheet" localSheetId="3">#REF!</definedName>
    <definedName name="Worksheet">#REF!</definedName>
    <definedName name="wrn.01." hidden="1">{#N/A,#N/A,FALSE,"1321";#N/A,#N/A,FALSE,"1324";#N/A,#N/A,FALSE,"1333";#N/A,#N/A,FALSE,"1371"}</definedName>
    <definedName name="wrn.083." hidden="1">{#N/A,#N/A,FALSE,"CONTRIB.SOCIAL ACUM.";#N/A,#N/A,FALSE,"CONTRIB.SOCIAL";#N/A,#N/A,FALSE,"APUR.LUCRO REAL ACUM.";#N/A,#N/A,FALSE,"APUR.LUCRO REAL";#N/A,#N/A,FALSE,"DEMOST.RESULT ACUM.";#N/A,#N/A,FALSE,"DEMONST.RESULT.";#N/A,#N/A,FALSE,"PASSIVO";#N/A,#N/A,FALSE,"ATIVO"}</definedName>
    <definedName name="wrn.5BY5." hidden="1">{"SCH44",#N/A,FALSE,"5b5f";"SCH45",#N/A,FALSE,"5b5f"}</definedName>
    <definedName name="wrn.ALL.FIN2." hidden="1">{"SCH35",#N/A,FALSE,"5X3";"SCH36",#N/A,FALSE,"5X3";"SCH37",#N/A,FALSE,"5X3";"SCH38",#N/A,FALSE,"5X3";"SCH39A",#N/A,FALSE,"5X3";"SCH39B",#N/A,FALSE,"5X3";"SCH40",#N/A,FALSE,"5X3"}</definedName>
    <definedName name="wrn.ALL_HR." hidden="1">{"SCH66",#N/A,FALSE,"SCH66";"sch66a",#N/A,FALSE,"SCH66A";"SCH67",#N/A,FALSE,"SCH67";"SCH68",#N/A,FALSE,"SCH68";"SCH69",#N/A,FALSE,"SCH69";"sch701",#N/A,FALSE,"SCH70";"sch702",#N/A,FALSE,"SCH70";"SCH81",#N/A,FALSE,"SCH81";"SCH821",#N/A,FALSE,"SCH82";"SCH822",#N/A,FALSE,"SCH82"}</definedName>
    <definedName name="wrn.All_Plandol." hidden="1">{"sch24",#N/A,FALSE,"summary";"sch40",#N/A,FALSE,"summary";"sch42",#N/A,FALSE,"summary";"sch25",#N/A,FALSE,"monthly";"sch41",#N/A,FALSE,"monthly";"sch43",#N/A,FALSE,"monthly";"sch44",#N/A,FALSE,"monthly";"sch56",#N/A,FALSE,"monthly";"sch57",#N/A,FALSE,"monthly";"sch59",#N/A,FALSE,"monthly";"sch76",#N/A,FALSE,"monthly";"sch77",#N/A,FALSE,"monthly";"sch78",#N/A,FALSE,"monthly";"sch79",#N/A,FALSE,"monthly";"sch80",#N/A,FALSE,"monthly";"sch32",#N/A,FALSE,"ebitrecs";"sch33",#N/A,FALSE,"ebitrecs";"sch34",#N/A,FALSE,"ebitrecs";"sch35",#N/A,FALSE,"ebitrecs";"sch36",#N/A,FALSE,"ebitrecs";"sch37",#N/A,FALSE,"ebitrecs";"sch38",#N/A,FALSE,"ebitrecs";"sch39",#N/A,FALSE,"ebitrecs";"sch53",#N/A,FALSE,"value";"sch60",#N/A,FALSE,"upside";"sch61",#N/A,FALSE,"upside";"sch54",#N/A,FALSE,"value";"sch45",#N/A,FALSE,"5b5f";"sch46",#N/A,FALSE,"5b5f";"sch47",#N/A,FALSE,"5b5f";"sch48",#N/A,FALSE,"5b5f";"sch49",#N/A,FALSE,"5b5f";"sch501",#N/A,FALSE,"5b5f";"sch502",#N/A,FALSE,"5b5f";"sch51",#N/A,FALSE,"5b5f";"sch55",#N/A,FALSE,"eva";"sch63",#N/A,FALSE,"eva";"sch64",#N/A,FALSE,"eva";"sch65",#N/A,FALSE,"eva";"sch6",#N/A,FALSE,"SCH6";"sch26",#N/A,FALSE,"SCH26";"sch7",#N/A,FALSE,"SCH7";"sch27",#N/A,FALSE,"SCH27";"sch28",#N/A,FALSE,"SCH28";"sch29",#N/A,FALSE,"SCH29";"sch30",#N/A,FALSE,"SCH30";"sch31",#N/A,FALSE,"SCH31";"sch521",#N/A,FALSE,"SCH52";"sch522",#N/A,FALSE,"SCH52";"sch523",#N/A,FALSE,"SCH52";"sch58",#N/A,FALSE,"SCH58";"sch62",#N/A,FALSE,"SCH62"}</definedName>
    <definedName name="wrn.Clarobook.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OSTIMP." hidden="1">{"sch56",#N/A,FALSE,"savings";"sch64",#N/A,FALSE,"savings"}</definedName>
    <definedName name="wrn.Despesas._.Diferidas._.Indedutíveis._.de._.1998." hidden="1">{"Despesas Diferidas Indedutíveis de 1998",#N/A,FALSE,"Impressão"}</definedName>
    <definedName name="wrn.EBITRECS.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wrn.EVA." hidden="1">{"SCH73",#N/A,FALSE,"eva";"SCH74",#N/A,FALSE,"eva";"SCH75",#N/A,FALSE,"eva"}</definedName>
    <definedName name="wrn.FULL_PACKAGE." hidden="1">{#N/A,#N/A,FALSE,"Checklist";#N/A,#N/A,FALSE,"Sch 1";#N/A,#N/A,FALSE,"Sch 2";#N/A,#N/A,FALSE,"Sch 2A";#N/A,#N/A,FALSE,"Sch 3";#N/A,#N/A,FALSE,"Sch 4";#N/A,#N/A,FALSE,"Sch 5";#N/A,#N/A,FALSE,"Sch 6";#N/A,#N/A,FALSE,"Sch 7";#N/A,#N/A,FALSE,"Sch 7 A";#N/A,#N/A,FALSE,"Sch 7 B";#N/A,#N/A,FALSE,"Sch 8";#N/A,#N/A,FALSE,"Sch 9";#N/A,#N/A,FALSE,"Sch 10";#N/A,#N/A,FALSE,"Sch 11";#N/A,#N/A,FALSE,"Sch 11 A";#N/A,#N/A,FALSE,"Sch12";#N/A,#N/A,FALSE,"Sch13";#N/A,#N/A,FALSE,"Weekly CF";#N/A,#N/A,FALSE,"Detailed Q CF";#N/A,#N/A,FALSE,"Collection";#N/A,#N/A,FALSE,"Revenues Analysis- actuals";#N/A,#N/A,FALSE,"Revenues Analysis - Forecast";#N/A,#N/A,FALSE,"Backlog";#N/A,#N/A,FALSE," mangment P&amp;L";#N/A,#N/A,FALSE,"Restricted cash"}</definedName>
    <definedName name="wrn.HRMONTH." hidden="1">{"SCH81",#N/A,FALSE,"SCH81";"SCH82",#N/A,FALSE,"SCH82"}</definedName>
    <definedName name="wrn.KEYFIN." hidden="1">{"SCH49",#N/A,FALSE,"eva"}</definedName>
    <definedName name="wrn.MONTHLY.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wrn.PRINT." hidden="1">{"SCH15",#N/A,FALSE,"SCH15,16,85,86";"SCH16",#N/A,FALSE,"SCH15,16,85,86";"SCH85",#N/A,FALSE,"SCH15,16,85,86";"SCH86",#N/A,FALSE,"SCH15,16,85,86"}</definedName>
    <definedName name="wrn.print1." hidden="1">{"SCH15",#N/A,FALSE,"SCH15,16,85,86";"SCH16",#N/A,FALSE,"SCH15,16,85,86";"SCH85",#N/A,FALSE,"SCH15,16,85,86";"SCH86",#N/A,FALSE,"SCH15,16,85,86"}</definedName>
    <definedName name="wrn.PRINTHR." hidden="1">{"SCH66",#N/A,FALSE,"SCH66";"SCH67",#N/A,FALSE,"SCH67";"SCH68",#N/A,FALSE,"SCH68";"SCH69",#N/A,FALSE,"SCH69";"SCH70",#N/A,FALSE,"SCH70"}</definedName>
    <definedName name="wrn.PRINTMKTG." hidden="1">{"sch6",#N/A,FALSE,"SCH6";"sch7",#N/A,FALSE,"SCH7"}</definedName>
    <definedName name="wrn.PRINTPROD.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wrn.PROGRAMS." hidden="1">{"sch52",#N/A,FALSE,"SCH52"}</definedName>
    <definedName name="wrn.Relatório._.Completo.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para._.Auditoria.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SCH46." hidden="1">{"SCH46",#N/A,FALSE,"sch46"}</definedName>
    <definedName name="wrn.SCH51." hidden="1">{"SCH51",#N/A,FALSE,"monthly"}</definedName>
    <definedName name="wrn.SCH52." hidden="1">{"SCH52",#N/A,FALSE,"sch52"}</definedName>
    <definedName name="wrn.SCH57." hidden="1">{"SCH57",#N/A,FALSE,"monthly"}</definedName>
    <definedName name="wrn.SCH58." hidden="1">{"sch58",#N/A,FALSE,"SCH58"}</definedName>
    <definedName name="wrn.SEGMENT." hidden="1">{"SCH29",#N/A,FALSE,"segments";"SCH30",#N/A,FALSE,"segments"}</definedName>
    <definedName name="wrn.SUMMARY." hidden="1">{"SCH27",#N/A,FALSE,"summary";"SCH39",#N/A,FALSE,"summary";"SCH41",#N/A,FALSE,"summary"}</definedName>
    <definedName name="wrn.UPDOWN." hidden="1">{"SCH54",#N/A,FALSE,"upside";"SCH55",#N/A,FALSE,"upside"}</definedName>
    <definedName name="wrn.VALUE." hidden="1">{"SCH47",#N/A,FALSE,"value";"sch48",#N/A,FALSE,"value"}</definedName>
    <definedName name="wrn.YEARLY.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www" localSheetId="3">#REF!</definedName>
    <definedName name="www">#REF!</definedName>
    <definedName name="x" localSheetId="3">#REF!</definedName>
    <definedName name="x">#REF!</definedName>
    <definedName name="xx" hidden="1">{#N/A,#N/A,FALSE,"Skjema 6.5"}</definedName>
    <definedName name="yan" localSheetId="3">#REF!</definedName>
    <definedName name="yan">#REF!</definedName>
    <definedName name="yr" localSheetId="3">#REF!</definedName>
    <definedName name="yr">#REF!</definedName>
    <definedName name="YRS" localSheetId="3">#REF!</definedName>
    <definedName name="YRS">#REF!</definedName>
  </definedName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72" i="8" l="1"/>
  <c r="AI72" i="8"/>
  <c r="AJ72" i="8"/>
  <c r="AJ51" i="8" l="1"/>
  <c r="AI51" i="8"/>
  <c r="AH51" i="8"/>
  <c r="AJ98" i="8" l="1"/>
  <c r="AI98" i="8"/>
  <c r="AH98" i="8"/>
  <c r="AJ83" i="8"/>
  <c r="AI83" i="8"/>
  <c r="AH83" i="8"/>
  <c r="AJ80" i="8"/>
  <c r="AJ101" i="8" s="1"/>
  <c r="AI80" i="8"/>
  <c r="AI101" i="8" s="1"/>
  <c r="AH80" i="8"/>
  <c r="AH77" i="8"/>
  <c r="AJ77" i="8"/>
  <c r="AJ68" i="8"/>
  <c r="AI68" i="8"/>
  <c r="AH68" i="8"/>
  <c r="AJ63" i="8"/>
  <c r="AI63" i="8"/>
  <c r="AH63" i="8"/>
  <c r="AJ60" i="8"/>
  <c r="AI60" i="8"/>
  <c r="AH60" i="8"/>
  <c r="AJ48" i="8"/>
  <c r="AH48" i="8"/>
  <c r="AI48" i="8"/>
  <c r="AJ43" i="8"/>
  <c r="AI43" i="8"/>
  <c r="AH43" i="8"/>
  <c r="AJ34" i="8"/>
  <c r="AI34" i="8"/>
  <c r="AH34" i="8"/>
  <c r="AJ25" i="8"/>
  <c r="AI25" i="8"/>
  <c r="AH25" i="8"/>
  <c r="AJ19" i="8"/>
  <c r="AI19" i="8"/>
  <c r="AI32" i="8" s="1"/>
  <c r="AH19" i="8"/>
  <c r="AJ16" i="8"/>
  <c r="AI16" i="8"/>
  <c r="AH16" i="8"/>
  <c r="AH32" i="8" s="1"/>
  <c r="AJ5" i="8"/>
  <c r="AI5" i="8"/>
  <c r="AH5" i="8"/>
  <c r="AH4" i="8"/>
  <c r="AI4" i="8" s="1"/>
  <c r="AJ4" i="8" s="1"/>
  <c r="AH101" i="8" l="1"/>
  <c r="AI97" i="8"/>
  <c r="AJ32" i="8"/>
  <c r="AH53" i="8"/>
  <c r="AH41" i="8"/>
  <c r="AJ53" i="8"/>
  <c r="AJ41" i="8"/>
  <c r="AI53" i="8"/>
  <c r="AI41" i="8"/>
  <c r="AH100" i="8"/>
  <c r="AI100" i="8"/>
  <c r="AH97" i="8"/>
  <c r="AJ100" i="8"/>
  <c r="AI77" i="8"/>
  <c r="AJ97" i="8"/>
  <c r="AG72" i="8"/>
  <c r="AF72" i="8"/>
  <c r="AE72" i="8"/>
  <c r="AH93" i="8" l="1"/>
  <c r="AH94" i="8"/>
  <c r="AH56" i="8"/>
  <c r="AI93" i="8"/>
  <c r="AI94" i="8"/>
  <c r="AI56" i="8"/>
  <c r="AJ94" i="8"/>
  <c r="AJ56" i="8"/>
  <c r="AJ93" i="8"/>
  <c r="AG98" i="8"/>
  <c r="AE98" i="8"/>
  <c r="AE94" i="8"/>
  <c r="AE93" i="8"/>
  <c r="AG83" i="8"/>
  <c r="AE83" i="8"/>
  <c r="AE101" i="8" s="1"/>
  <c r="AG80" i="8"/>
  <c r="AG97" i="8" s="1"/>
  <c r="AF80" i="8"/>
  <c r="AE80" i="8"/>
  <c r="AJ73" i="8" l="1"/>
  <c r="AJ71" i="8" s="1"/>
  <c r="AJ57" i="8"/>
  <c r="AJ62" i="8"/>
  <c r="AI73" i="8"/>
  <c r="AI71" i="8" s="1"/>
  <c r="AI57" i="8"/>
  <c r="AI62" i="8"/>
  <c r="AH73" i="8"/>
  <c r="AH71" i="8" s="1"/>
  <c r="AH57" i="8"/>
  <c r="AH62" i="8"/>
  <c r="AG100" i="8"/>
  <c r="AG101" i="8"/>
  <c r="AE97" i="8"/>
  <c r="AE100" i="8"/>
  <c r="AG77" i="8"/>
  <c r="AE77" i="8"/>
  <c r="AF77" i="8"/>
  <c r="AE65" i="8"/>
  <c r="AG68" i="8"/>
  <c r="AF68" i="8"/>
  <c r="AE68" i="8"/>
  <c r="AE67" i="8"/>
  <c r="AE69" i="8" s="1"/>
  <c r="AE76" i="8" s="1"/>
  <c r="AE75" i="8" s="1"/>
  <c r="AG63" i="8"/>
  <c r="AF63" i="8"/>
  <c r="AE63" i="8"/>
  <c r="AE62" i="8" s="1"/>
  <c r="AG60" i="8"/>
  <c r="AF60" i="8"/>
  <c r="AE60" i="8"/>
  <c r="AE56" i="8"/>
  <c r="AE57" i="8" s="1"/>
  <c r="AE53" i="8"/>
  <c r="AG51" i="8"/>
  <c r="AG48" i="8" s="1"/>
  <c r="AF51" i="8"/>
  <c r="AF48" i="8" s="1"/>
  <c r="AE51" i="8"/>
  <c r="AE48" i="8" s="1"/>
  <c r="AG43" i="8"/>
  <c r="AF43" i="8"/>
  <c r="AE43" i="8"/>
  <c r="AG34" i="8"/>
  <c r="AF34" i="8"/>
  <c r="AE34" i="8"/>
  <c r="AE41" i="8" s="1"/>
  <c r="AG32" i="8"/>
  <c r="AG53" i="8" s="1"/>
  <c r="AE32" i="8"/>
  <c r="AG25" i="8"/>
  <c r="AF25" i="8"/>
  <c r="AE25" i="8"/>
  <c r="AG19" i="8"/>
  <c r="AF19" i="8"/>
  <c r="AE19" i="8"/>
  <c r="AG16" i="8"/>
  <c r="AF16" i="8"/>
  <c r="AE16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AG5" i="8"/>
  <c r="AF5" i="8"/>
  <c r="AE5" i="8"/>
  <c r="AE4" i="8"/>
  <c r="AF4" i="8" s="1"/>
  <c r="AG4" i="8" s="1"/>
  <c r="AH64" i="8" l="1"/>
  <c r="AH67" i="8"/>
  <c r="AH69" i="8" s="1"/>
  <c r="AH76" i="8" s="1"/>
  <c r="AH75" i="8" s="1"/>
  <c r="AH65" i="8"/>
  <c r="AI67" i="8"/>
  <c r="AI69" i="8" s="1"/>
  <c r="AI76" i="8" s="1"/>
  <c r="AI75" i="8" s="1"/>
  <c r="AI65" i="8"/>
  <c r="AI64" i="8"/>
  <c r="AJ67" i="8"/>
  <c r="AJ69" i="8" s="1"/>
  <c r="AJ76" i="8" s="1"/>
  <c r="AJ75" i="8" s="1"/>
  <c r="AJ65" i="8"/>
  <c r="AJ64" i="8"/>
  <c r="AG93" i="8"/>
  <c r="AG94" i="8"/>
  <c r="AG56" i="8"/>
  <c r="AG41" i="8"/>
  <c r="AE73" i="8"/>
  <c r="AE71" i="8" s="1"/>
  <c r="AF32" i="8"/>
  <c r="AG62" i="8"/>
  <c r="AG67" i="8" s="1"/>
  <c r="AG69" i="8" s="1"/>
  <c r="AG76" i="8" s="1"/>
  <c r="AG75" i="8" s="1"/>
  <c r="AE64" i="8"/>
  <c r="AD72" i="8"/>
  <c r="AC72" i="8"/>
  <c r="AB72" i="8"/>
  <c r="AD51" i="8"/>
  <c r="AC51" i="8"/>
  <c r="AB51" i="8"/>
  <c r="I46" i="8"/>
  <c r="AB46" i="8"/>
  <c r="AF98" i="8" l="1"/>
  <c r="AF83" i="8"/>
  <c r="AF101" i="8" s="1"/>
  <c r="AG57" i="8"/>
  <c r="AG73" i="8"/>
  <c r="AG71" i="8" s="1"/>
  <c r="AG64" i="8"/>
  <c r="AG65" i="8"/>
  <c r="AF53" i="8"/>
  <c r="AF41" i="8"/>
  <c r="AD98" i="8"/>
  <c r="AC98" i="8"/>
  <c r="AB98" i="8"/>
  <c r="AD83" i="8"/>
  <c r="AC83" i="8"/>
  <c r="AB83" i="8"/>
  <c r="AB80" i="8"/>
  <c r="AD80" i="8"/>
  <c r="AC80" i="8"/>
  <c r="AC77" i="8"/>
  <c r="AD68" i="8"/>
  <c r="AC68" i="8"/>
  <c r="AB68" i="8"/>
  <c r="AD63" i="8"/>
  <c r="AC63" i="8"/>
  <c r="AB63" i="8"/>
  <c r="AD60" i="8"/>
  <c r="AC60" i="8"/>
  <c r="AB60" i="8"/>
  <c r="AD48" i="8"/>
  <c r="AC48" i="8"/>
  <c r="AB48" i="8"/>
  <c r="AD34" i="8"/>
  <c r="AC34" i="8"/>
  <c r="AB34" i="8"/>
  <c r="AD25" i="8"/>
  <c r="AC25" i="8"/>
  <c r="AB25" i="8"/>
  <c r="AD19" i="8"/>
  <c r="AC19" i="8"/>
  <c r="AB19" i="8"/>
  <c r="AD16" i="8"/>
  <c r="AC16" i="8"/>
  <c r="AB16" i="8"/>
  <c r="AD5" i="8"/>
  <c r="AC5" i="8"/>
  <c r="AB5" i="8"/>
  <c r="AF93" i="8" l="1"/>
  <c r="AF94" i="8"/>
  <c r="AF56" i="8"/>
  <c r="AF100" i="8"/>
  <c r="AF97" i="8"/>
  <c r="AD101" i="8"/>
  <c r="AB97" i="8"/>
  <c r="AC101" i="8"/>
  <c r="AC97" i="8"/>
  <c r="AD97" i="8"/>
  <c r="AB32" i="8"/>
  <c r="AB53" i="8" s="1"/>
  <c r="AD32" i="8"/>
  <c r="AD41" i="8" s="1"/>
  <c r="AC32" i="8"/>
  <c r="AC41" i="8" s="1"/>
  <c r="AB100" i="8"/>
  <c r="AB101" i="8"/>
  <c r="AD100" i="8"/>
  <c r="AC100" i="8"/>
  <c r="AD77" i="8"/>
  <c r="AB77" i="8"/>
  <c r="AF57" i="8" l="1"/>
  <c r="AF73" i="8"/>
  <c r="AF71" i="8" s="1"/>
  <c r="AF62" i="8"/>
  <c r="AD53" i="8"/>
  <c r="AD56" i="8" s="1"/>
  <c r="AC53" i="8"/>
  <c r="AC94" i="8" s="1"/>
  <c r="AB41" i="8"/>
  <c r="AB56" i="8"/>
  <c r="AB62" i="8" s="1"/>
  <c r="AB94" i="8"/>
  <c r="AB93" i="8"/>
  <c r="AF67" i="8" l="1"/>
  <c r="AF69" i="8" s="1"/>
  <c r="AF76" i="8" s="1"/>
  <c r="AF75" i="8" s="1"/>
  <c r="AF65" i="8"/>
  <c r="AF64" i="8"/>
  <c r="AC93" i="8"/>
  <c r="AC56" i="8"/>
  <c r="AC73" i="8" s="1"/>
  <c r="AC71" i="8" s="1"/>
  <c r="AD94" i="8"/>
  <c r="AD93" i="8"/>
  <c r="AD73" i="8"/>
  <c r="AD71" i="8" s="1"/>
  <c r="AD57" i="8"/>
  <c r="AD62" i="8"/>
  <c r="AB57" i="8"/>
  <c r="AB73" i="8"/>
  <c r="AB71" i="8" s="1"/>
  <c r="AC57" i="8" l="1"/>
  <c r="AC62" i="8"/>
  <c r="AB67" i="8"/>
  <c r="AB69" i="8" s="1"/>
  <c r="AB76" i="8" s="1"/>
  <c r="AB75" i="8" s="1"/>
  <c r="AB64" i="8"/>
  <c r="AB65" i="8"/>
  <c r="AD64" i="8"/>
  <c r="AD67" i="8"/>
  <c r="AD69" i="8" s="1"/>
  <c r="AD76" i="8" s="1"/>
  <c r="AD75" i="8" s="1"/>
  <c r="AD65" i="8"/>
  <c r="AC64" i="8" l="1"/>
  <c r="AC67" i="8"/>
  <c r="AC69" i="8" s="1"/>
  <c r="AC76" i="8" s="1"/>
  <c r="AC75" i="8" s="1"/>
  <c r="AC65" i="8"/>
  <c r="AA81" i="8"/>
  <c r="AA86" i="8"/>
  <c r="Y72" i="8" l="1"/>
  <c r="Z72" i="8"/>
  <c r="AA72" i="8"/>
  <c r="AA98" i="8" l="1"/>
  <c r="AA83" i="8"/>
  <c r="AA80" i="8"/>
  <c r="AA77" i="8"/>
  <c r="AA68" i="8"/>
  <c r="AA63" i="8"/>
  <c r="AA60" i="8"/>
  <c r="AA48" i="8"/>
  <c r="AA34" i="8"/>
  <c r="AA25" i="8"/>
  <c r="AA19" i="8"/>
  <c r="AA16" i="8"/>
  <c r="AA5" i="8"/>
  <c r="Z98" i="8"/>
  <c r="Z83" i="8"/>
  <c r="Z80" i="8"/>
  <c r="Z77" i="8"/>
  <c r="Z68" i="8"/>
  <c r="Z63" i="8"/>
  <c r="Z60" i="8"/>
  <c r="Z48" i="8"/>
  <c r="Z34" i="8"/>
  <c r="Z25" i="8"/>
  <c r="Z19" i="8"/>
  <c r="Z16" i="8"/>
  <c r="Z5" i="8"/>
  <c r="Y98" i="8"/>
  <c r="Y83" i="8"/>
  <c r="Y80" i="8"/>
  <c r="Y77" i="8"/>
  <c r="Y68" i="8"/>
  <c r="Y63" i="8"/>
  <c r="Y60" i="8"/>
  <c r="Y48" i="8"/>
  <c r="Y34" i="8"/>
  <c r="Y25" i="8"/>
  <c r="Y19" i="8"/>
  <c r="Y16" i="8"/>
  <c r="Y5" i="8"/>
  <c r="Z32" i="8" l="1"/>
  <c r="Z53" i="8" s="1"/>
  <c r="Z56" i="8" s="1"/>
  <c r="Y97" i="8"/>
  <c r="Z97" i="8"/>
  <c r="AA101" i="8"/>
  <c r="Z101" i="8"/>
  <c r="AA97" i="8"/>
  <c r="Y100" i="8"/>
  <c r="AA100" i="8"/>
  <c r="AA32" i="8"/>
  <c r="AA41" i="8" s="1"/>
  <c r="Y32" i="8"/>
  <c r="Y53" i="8" s="1"/>
  <c r="Z100" i="8"/>
  <c r="Y101" i="8"/>
  <c r="W82" i="8"/>
  <c r="Z41" i="8" l="1"/>
  <c r="Z93" i="8"/>
  <c r="Z94" i="8"/>
  <c r="Y41" i="8"/>
  <c r="AA53" i="8"/>
  <c r="AA94" i="8" s="1"/>
  <c r="Z57" i="8"/>
  <c r="Z73" i="8"/>
  <c r="Z71" i="8" s="1"/>
  <c r="Z62" i="8"/>
  <c r="Y94" i="8"/>
  <c r="Y93" i="8"/>
  <c r="Y56" i="8"/>
  <c r="Y73" i="8" s="1"/>
  <c r="Y71" i="8" s="1"/>
  <c r="V72" i="8"/>
  <c r="W72" i="8"/>
  <c r="X72" i="8"/>
  <c r="AA56" i="8" l="1"/>
  <c r="AA73" i="8" s="1"/>
  <c r="AA71" i="8" s="1"/>
  <c r="AA93" i="8"/>
  <c r="Z65" i="8"/>
  <c r="Z64" i="8"/>
  <c r="Z67" i="8"/>
  <c r="Z69" i="8" s="1"/>
  <c r="Z76" i="8" s="1"/>
  <c r="Z75" i="8" s="1"/>
  <c r="Y62" i="8"/>
  <c r="Y57" i="8"/>
  <c r="X98" i="8"/>
  <c r="W98" i="8"/>
  <c r="V98" i="8"/>
  <c r="X83" i="8"/>
  <c r="W83" i="8"/>
  <c r="V83" i="8"/>
  <c r="X80" i="8"/>
  <c r="W80" i="8"/>
  <c r="V80" i="8"/>
  <c r="X77" i="8"/>
  <c r="W77" i="8"/>
  <c r="V77" i="8"/>
  <c r="X68" i="8"/>
  <c r="W68" i="8"/>
  <c r="V68" i="8"/>
  <c r="X63" i="8"/>
  <c r="W63" i="8"/>
  <c r="V63" i="8"/>
  <c r="X60" i="8"/>
  <c r="W60" i="8"/>
  <c r="V60" i="8"/>
  <c r="X48" i="8"/>
  <c r="W48" i="8"/>
  <c r="V48" i="8"/>
  <c r="X34" i="8"/>
  <c r="W34" i="8"/>
  <c r="V34" i="8"/>
  <c r="X25" i="8"/>
  <c r="W25" i="8"/>
  <c r="V25" i="8"/>
  <c r="X19" i="8"/>
  <c r="W19" i="8"/>
  <c r="V19" i="8"/>
  <c r="X16" i="8"/>
  <c r="W16" i="8"/>
  <c r="V16" i="8"/>
  <c r="X5" i="8"/>
  <c r="W5" i="8"/>
  <c r="V5" i="8"/>
  <c r="Y65" i="8" l="1"/>
  <c r="V101" i="8"/>
  <c r="AA57" i="8"/>
  <c r="AA62" i="8"/>
  <c r="Y64" i="8"/>
  <c r="Y67" i="8"/>
  <c r="X100" i="8"/>
  <c r="X101" i="8"/>
  <c r="W101" i="8"/>
  <c r="V100" i="8"/>
  <c r="W100" i="8"/>
  <c r="X97" i="8"/>
  <c r="X32" i="8"/>
  <c r="X41" i="8" s="1"/>
  <c r="V32" i="8"/>
  <c r="V41" i="8" s="1"/>
  <c r="W32" i="8"/>
  <c r="W53" i="8" s="1"/>
  <c r="V97" i="8"/>
  <c r="W97" i="8"/>
  <c r="AA67" i="8" l="1"/>
  <c r="AA69" i="8" s="1"/>
  <c r="AA76" i="8" s="1"/>
  <c r="AA75" i="8" s="1"/>
  <c r="Y69" i="8"/>
  <c r="AA64" i="8"/>
  <c r="AA65" i="8"/>
  <c r="X53" i="8"/>
  <c r="X56" i="8" s="1"/>
  <c r="V53" i="8"/>
  <c r="V94" i="8" s="1"/>
  <c r="W41" i="8"/>
  <c r="W94" i="8"/>
  <c r="W93" i="8"/>
  <c r="W56" i="8"/>
  <c r="X93" i="8" l="1"/>
  <c r="X94" i="8"/>
  <c r="Y76" i="8"/>
  <c r="Y75" i="8" s="1"/>
  <c r="V56" i="8"/>
  <c r="V73" i="8" s="1"/>
  <c r="V71" i="8" s="1"/>
  <c r="V93" i="8"/>
  <c r="W73" i="8"/>
  <c r="W71" i="8" s="1"/>
  <c r="W57" i="8"/>
  <c r="W62" i="8"/>
  <c r="X57" i="8"/>
  <c r="X62" i="8"/>
  <c r="X73" i="8"/>
  <c r="X71" i="8" s="1"/>
  <c r="V62" i="8" l="1"/>
  <c r="V57" i="8"/>
  <c r="X65" i="8"/>
  <c r="X64" i="8"/>
  <c r="X67" i="8"/>
  <c r="X69" i="8" s="1"/>
  <c r="X76" i="8" s="1"/>
  <c r="X75" i="8" s="1"/>
  <c r="W65" i="8"/>
  <c r="W64" i="8"/>
  <c r="W67" i="8"/>
  <c r="W69" i="8" s="1"/>
  <c r="W76" i="8" s="1"/>
  <c r="W75" i="8" s="1"/>
  <c r="V67" i="8" l="1"/>
  <c r="V69" i="8" s="1"/>
  <c r="V76" i="8" s="1"/>
  <c r="V75" i="8" s="1"/>
  <c r="V64" i="8"/>
  <c r="V65" i="8"/>
  <c r="S87" i="8"/>
  <c r="S86" i="8"/>
  <c r="T86" i="8"/>
  <c r="U72" i="8" l="1"/>
  <c r="U77" i="8" s="1"/>
  <c r="T72" i="8"/>
  <c r="S72" i="8"/>
  <c r="S77" i="8" s="1"/>
  <c r="U48" i="8"/>
  <c r="T48" i="8"/>
  <c r="S48" i="8"/>
  <c r="U46" i="8"/>
  <c r="U98" i="8"/>
  <c r="U83" i="8"/>
  <c r="U80" i="8"/>
  <c r="U68" i="8"/>
  <c r="U63" i="8"/>
  <c r="U60" i="8"/>
  <c r="U34" i="8"/>
  <c r="U25" i="8"/>
  <c r="U19" i="8"/>
  <c r="U16" i="8"/>
  <c r="U5" i="8"/>
  <c r="T98" i="8"/>
  <c r="S98" i="8"/>
  <c r="T83" i="8"/>
  <c r="S83" i="8"/>
  <c r="T80" i="8"/>
  <c r="S80" i="8"/>
  <c r="T68" i="8"/>
  <c r="S68" i="8"/>
  <c r="T63" i="8"/>
  <c r="S63" i="8"/>
  <c r="T60" i="8"/>
  <c r="S60" i="8"/>
  <c r="T34" i="8"/>
  <c r="S34" i="8"/>
  <c r="T25" i="8"/>
  <c r="S25" i="8"/>
  <c r="T19" i="8"/>
  <c r="S19" i="8"/>
  <c r="T16" i="8"/>
  <c r="S16" i="8"/>
  <c r="T5" i="8"/>
  <c r="S5" i="8"/>
  <c r="U101" i="8" l="1"/>
  <c r="T101" i="8"/>
  <c r="S100" i="8"/>
  <c r="S101" i="8"/>
  <c r="T100" i="8"/>
  <c r="U100" i="8"/>
  <c r="S97" i="8"/>
  <c r="T97" i="8"/>
  <c r="T32" i="8"/>
  <c r="T41" i="8" s="1"/>
  <c r="U32" i="8"/>
  <c r="U53" i="8" s="1"/>
  <c r="S32" i="8"/>
  <c r="S53" i="8" s="1"/>
  <c r="U97" i="8"/>
  <c r="T77" i="8"/>
  <c r="T53" i="8" l="1"/>
  <c r="T94" i="8" s="1"/>
  <c r="S41" i="8"/>
  <c r="U41" i="8"/>
  <c r="U94" i="8"/>
  <c r="U93" i="8"/>
  <c r="U56" i="8"/>
  <c r="S93" i="8"/>
  <c r="S94" i="8"/>
  <c r="S56" i="8"/>
  <c r="T56" i="8" l="1"/>
  <c r="T57" i="8" s="1"/>
  <c r="T93" i="8"/>
  <c r="U73" i="8"/>
  <c r="U71" i="8" s="1"/>
  <c r="U62" i="8"/>
  <c r="U57" i="8"/>
  <c r="S62" i="8"/>
  <c r="S57" i="8"/>
  <c r="S73" i="8"/>
  <c r="S71" i="8" s="1"/>
  <c r="T62" i="8" l="1"/>
  <c r="T73" i="8"/>
  <c r="T71" i="8" s="1"/>
  <c r="U67" i="8"/>
  <c r="U69" i="8" s="1"/>
  <c r="U76" i="8" s="1"/>
  <c r="U75" i="8" s="1"/>
  <c r="U64" i="8"/>
  <c r="U65" i="8"/>
  <c r="S67" i="8"/>
  <c r="S69" i="8" s="1"/>
  <c r="S76" i="8" s="1"/>
  <c r="S75" i="8" s="1"/>
  <c r="S64" i="8"/>
  <c r="S65" i="8"/>
  <c r="T64" i="8" l="1"/>
  <c r="T65" i="8"/>
  <c r="T67" i="8"/>
  <c r="T69" i="8" s="1"/>
  <c r="T76" i="8" s="1"/>
  <c r="T75" i="8" s="1"/>
  <c r="R82" i="8"/>
  <c r="R87" i="8"/>
  <c r="Q46" i="8" l="1"/>
  <c r="O46" i="8"/>
  <c r="K46" i="8"/>
  <c r="J51" i="8"/>
  <c r="F51" i="8"/>
  <c r="D51" i="8"/>
  <c r="P86" i="8" l="1"/>
  <c r="O98" i="8"/>
  <c r="M72" i="8"/>
  <c r="R72" i="8"/>
  <c r="Q72" i="8"/>
  <c r="P72" i="8"/>
  <c r="O72" i="8"/>
  <c r="N72" i="8"/>
  <c r="M68" i="8" l="1"/>
  <c r="R98" i="8"/>
  <c r="Q98" i="8"/>
  <c r="P98" i="8"/>
  <c r="N98" i="8"/>
  <c r="R83" i="8"/>
  <c r="Q83" i="8"/>
  <c r="P83" i="8"/>
  <c r="O83" i="8"/>
  <c r="N83" i="8"/>
  <c r="R80" i="8"/>
  <c r="Q80" i="8"/>
  <c r="P80" i="8"/>
  <c r="O80" i="8"/>
  <c r="N80" i="8"/>
  <c r="R77" i="8"/>
  <c r="P77" i="8"/>
  <c r="N77" i="8"/>
  <c r="R68" i="8"/>
  <c r="Q68" i="8"/>
  <c r="P68" i="8"/>
  <c r="O68" i="8"/>
  <c r="N68" i="8"/>
  <c r="R63" i="8"/>
  <c r="Q63" i="8"/>
  <c r="P63" i="8"/>
  <c r="O63" i="8"/>
  <c r="N63" i="8"/>
  <c r="R60" i="8"/>
  <c r="Q60" i="8"/>
  <c r="P60" i="8"/>
  <c r="O60" i="8"/>
  <c r="N60" i="8"/>
  <c r="R48" i="8"/>
  <c r="Q48" i="8"/>
  <c r="P48" i="8"/>
  <c r="O48" i="8"/>
  <c r="N48" i="8"/>
  <c r="R34" i="8"/>
  <c r="Q34" i="8"/>
  <c r="P34" i="8"/>
  <c r="O34" i="8"/>
  <c r="N34" i="8"/>
  <c r="R25" i="8"/>
  <c r="Q25" i="8"/>
  <c r="P25" i="8"/>
  <c r="O25" i="8"/>
  <c r="N25" i="8"/>
  <c r="R19" i="8"/>
  <c r="Q19" i="8"/>
  <c r="P19" i="8"/>
  <c r="O19" i="8"/>
  <c r="N19" i="8"/>
  <c r="R16" i="8"/>
  <c r="Q16" i="8"/>
  <c r="P16" i="8"/>
  <c r="O16" i="8"/>
  <c r="N16" i="8"/>
  <c r="R5" i="8"/>
  <c r="Q5" i="8"/>
  <c r="P5" i="8"/>
  <c r="O5" i="8"/>
  <c r="N5" i="8"/>
  <c r="M98" i="8"/>
  <c r="M83" i="8"/>
  <c r="M80" i="8"/>
  <c r="M77" i="8"/>
  <c r="M63" i="8"/>
  <c r="M60" i="8"/>
  <c r="M48" i="8"/>
  <c r="M34" i="8"/>
  <c r="M25" i="8"/>
  <c r="M19" i="8"/>
  <c r="M16" i="8"/>
  <c r="M5" i="8"/>
  <c r="N100" i="8" l="1"/>
  <c r="N101" i="8"/>
  <c r="O100" i="8"/>
  <c r="O101" i="8"/>
  <c r="P100" i="8"/>
  <c r="P101" i="8"/>
  <c r="Q101" i="8"/>
  <c r="M100" i="8"/>
  <c r="M101" i="8"/>
  <c r="R101" i="8"/>
  <c r="R100" i="8"/>
  <c r="Q100" i="8"/>
  <c r="O97" i="8"/>
  <c r="M97" i="8"/>
  <c r="N97" i="8"/>
  <c r="R97" i="8"/>
  <c r="P32" i="8"/>
  <c r="P53" i="8" s="1"/>
  <c r="O32" i="8"/>
  <c r="O41" i="8" s="1"/>
  <c r="N32" i="8"/>
  <c r="N53" i="8" s="1"/>
  <c r="R32" i="8"/>
  <c r="R41" i="8" s="1"/>
  <c r="P97" i="8"/>
  <c r="Q32" i="8"/>
  <c r="Q53" i="8" s="1"/>
  <c r="Q97" i="8"/>
  <c r="O77" i="8"/>
  <c r="M32" i="8"/>
  <c r="M41" i="8" s="1"/>
  <c r="Q77" i="8"/>
  <c r="P41" i="8" l="1"/>
  <c r="R53" i="8"/>
  <c r="R94" i="8" s="1"/>
  <c r="N41" i="8"/>
  <c r="O53" i="8"/>
  <c r="O93" i="8" s="1"/>
  <c r="M53" i="8"/>
  <c r="M93" i="8" s="1"/>
  <c r="Q41" i="8"/>
  <c r="Q93" i="8"/>
  <c r="Q94" i="8"/>
  <c r="Q56" i="8"/>
  <c r="P93" i="8"/>
  <c r="P56" i="8"/>
  <c r="P94" i="8"/>
  <c r="N94" i="8"/>
  <c r="N56" i="8"/>
  <c r="N93" i="8"/>
  <c r="O56" i="8" l="1"/>
  <c r="O73" i="8" s="1"/>
  <c r="O71" i="8" s="1"/>
  <c r="R93" i="8"/>
  <c r="R56" i="8"/>
  <c r="R57" i="8" s="1"/>
  <c r="M94" i="8"/>
  <c r="M56" i="8"/>
  <c r="M73" i="8" s="1"/>
  <c r="M71" i="8" s="1"/>
  <c r="O94" i="8"/>
  <c r="P57" i="8"/>
  <c r="P62" i="8"/>
  <c r="P73" i="8"/>
  <c r="P71" i="8" s="1"/>
  <c r="N62" i="8"/>
  <c r="N73" i="8"/>
  <c r="N71" i="8" s="1"/>
  <c r="N57" i="8"/>
  <c r="Q62" i="8"/>
  <c r="Q73" i="8"/>
  <c r="Q71" i="8" s="1"/>
  <c r="Q57" i="8"/>
  <c r="R73" i="8" l="1"/>
  <c r="R71" i="8" s="1"/>
  <c r="O62" i="8"/>
  <c r="M62" i="8"/>
  <c r="R62" i="8"/>
  <c r="O57" i="8"/>
  <c r="M57" i="8"/>
  <c r="R65" i="8"/>
  <c r="P64" i="8"/>
  <c r="P65" i="8"/>
  <c r="P67" i="8"/>
  <c r="P69" i="8" s="1"/>
  <c r="P76" i="8" s="1"/>
  <c r="P75" i="8" s="1"/>
  <c r="Q65" i="8"/>
  <c r="Q67" i="8"/>
  <c r="Q69" i="8" s="1"/>
  <c r="Q76" i="8" s="1"/>
  <c r="Q75" i="8" s="1"/>
  <c r="Q64" i="8"/>
  <c r="N67" i="8"/>
  <c r="N69" i="8" s="1"/>
  <c r="N76" i="8" s="1"/>
  <c r="N75" i="8" s="1"/>
  <c r="N64" i="8"/>
  <c r="N65" i="8"/>
  <c r="R67" i="8" l="1"/>
  <c r="R69" i="8" s="1"/>
  <c r="R76" i="8" s="1"/>
  <c r="R75" i="8" s="1"/>
  <c r="O67" i="8"/>
  <c r="O69" i="8" s="1"/>
  <c r="O76" i="8" s="1"/>
  <c r="O75" i="8" s="1"/>
  <c r="O64" i="8"/>
  <c r="R64" i="8"/>
  <c r="M67" i="8"/>
  <c r="M65" i="8"/>
  <c r="M64" i="8"/>
  <c r="O65" i="8"/>
  <c r="M69" i="8" l="1"/>
  <c r="M76" i="8" s="1"/>
  <c r="M75" i="8" s="1"/>
  <c r="K86" i="8"/>
  <c r="J86" i="8"/>
  <c r="L72" i="8"/>
  <c r="K72" i="8"/>
  <c r="J72" i="8"/>
  <c r="L98" i="8" l="1"/>
  <c r="K98" i="8"/>
  <c r="J98" i="8"/>
  <c r="L83" i="8"/>
  <c r="K83" i="8"/>
  <c r="J83" i="8"/>
  <c r="L80" i="8"/>
  <c r="K80" i="8"/>
  <c r="J80" i="8"/>
  <c r="L77" i="8"/>
  <c r="K77" i="8"/>
  <c r="J77" i="8"/>
  <c r="L68" i="8"/>
  <c r="K68" i="8"/>
  <c r="J68" i="8"/>
  <c r="L63" i="8"/>
  <c r="K63" i="8"/>
  <c r="J63" i="8"/>
  <c r="L60" i="8"/>
  <c r="K60" i="8"/>
  <c r="J60" i="8"/>
  <c r="L48" i="8"/>
  <c r="K48" i="8"/>
  <c r="J48" i="8"/>
  <c r="L34" i="8"/>
  <c r="K34" i="8"/>
  <c r="J34" i="8"/>
  <c r="L25" i="8"/>
  <c r="K25" i="8"/>
  <c r="J25" i="8"/>
  <c r="L19" i="8"/>
  <c r="K19" i="8"/>
  <c r="J19" i="8"/>
  <c r="L16" i="8"/>
  <c r="K16" i="8"/>
  <c r="J16" i="8"/>
  <c r="L5" i="8"/>
  <c r="K5" i="8"/>
  <c r="J5" i="8"/>
  <c r="J101" i="8" l="1"/>
  <c r="K100" i="8"/>
  <c r="K101" i="8"/>
  <c r="L100" i="8"/>
  <c r="L101" i="8"/>
  <c r="J100" i="8"/>
  <c r="K97" i="8"/>
  <c r="L97" i="8"/>
  <c r="J97" i="8"/>
  <c r="K32" i="8"/>
  <c r="K53" i="8" s="1"/>
  <c r="J32" i="8"/>
  <c r="J53" i="8" s="1"/>
  <c r="L32" i="8"/>
  <c r="L41" i="8" s="1"/>
  <c r="I80" i="8"/>
  <c r="I83" i="8"/>
  <c r="I72" i="8"/>
  <c r="I77" i="8" s="1"/>
  <c r="I100" i="8" l="1"/>
  <c r="I101" i="8"/>
  <c r="L53" i="8"/>
  <c r="L93" i="8" s="1"/>
  <c r="J41" i="8"/>
  <c r="K41" i="8"/>
  <c r="K94" i="8"/>
  <c r="K56" i="8"/>
  <c r="K93" i="8"/>
  <c r="J56" i="8"/>
  <c r="J93" i="8"/>
  <c r="J94" i="8"/>
  <c r="I98" i="8"/>
  <c r="I97" i="8"/>
  <c r="I68" i="8"/>
  <c r="I63" i="8"/>
  <c r="I60" i="8"/>
  <c r="I48" i="8"/>
  <c r="I34" i="8"/>
  <c r="I25" i="8"/>
  <c r="I19" i="8"/>
  <c r="I16" i="8"/>
  <c r="I5" i="8"/>
  <c r="L94" i="8" l="1"/>
  <c r="L56" i="8"/>
  <c r="L73" i="8" s="1"/>
  <c r="L71" i="8" s="1"/>
  <c r="I32" i="8"/>
  <c r="I53" i="8" s="1"/>
  <c r="I93" i="8" s="1"/>
  <c r="K57" i="8"/>
  <c r="K62" i="8"/>
  <c r="K73" i="8"/>
  <c r="K71" i="8" s="1"/>
  <c r="J73" i="8"/>
  <c r="J71" i="8" s="1"/>
  <c r="J62" i="8"/>
  <c r="J57" i="8"/>
  <c r="H83" i="8"/>
  <c r="H80" i="8"/>
  <c r="H72" i="8"/>
  <c r="H77" i="8" s="1"/>
  <c r="K65" i="8" l="1"/>
  <c r="L62" i="8"/>
  <c r="L57" i="8"/>
  <c r="H100" i="8"/>
  <c r="H101" i="8"/>
  <c r="I56" i="8"/>
  <c r="I73" i="8" s="1"/>
  <c r="I71" i="8" s="1"/>
  <c r="I94" i="8"/>
  <c r="I41" i="8"/>
  <c r="K64" i="8"/>
  <c r="K67" i="8"/>
  <c r="K69" i="8" s="1"/>
  <c r="K76" i="8" s="1"/>
  <c r="K75" i="8" s="1"/>
  <c r="J67" i="8"/>
  <c r="J69" i="8" s="1"/>
  <c r="J76" i="8" s="1"/>
  <c r="J75" i="8" s="1"/>
  <c r="J65" i="8"/>
  <c r="J64" i="8"/>
  <c r="L64" i="8"/>
  <c r="L67" i="8"/>
  <c r="L69" i="8" s="1"/>
  <c r="L76" i="8" s="1"/>
  <c r="L75" i="8" s="1"/>
  <c r="H98" i="8"/>
  <c r="H97" i="8"/>
  <c r="H68" i="8"/>
  <c r="H63" i="8"/>
  <c r="H60" i="8"/>
  <c r="H48" i="8"/>
  <c r="H34" i="8"/>
  <c r="H25" i="8"/>
  <c r="H19" i="8"/>
  <c r="H16" i="8"/>
  <c r="H5" i="8"/>
  <c r="L65" i="8" l="1"/>
  <c r="I62" i="8"/>
  <c r="I57" i="8"/>
  <c r="H32" i="8"/>
  <c r="H53" i="8" s="1"/>
  <c r="C34" i="8"/>
  <c r="D34" i="8"/>
  <c r="E34" i="8"/>
  <c r="F34" i="8"/>
  <c r="G34" i="8"/>
  <c r="G98" i="8"/>
  <c r="F98" i="8"/>
  <c r="E98" i="8"/>
  <c r="D98" i="8"/>
  <c r="C98" i="8"/>
  <c r="G83" i="8"/>
  <c r="F83" i="8"/>
  <c r="E83" i="8"/>
  <c r="D83" i="8"/>
  <c r="C83" i="8"/>
  <c r="G80" i="8"/>
  <c r="F80" i="8"/>
  <c r="E80" i="8"/>
  <c r="D80" i="8"/>
  <c r="C80" i="8"/>
  <c r="G72" i="8"/>
  <c r="G77" i="8" s="1"/>
  <c r="F72" i="8"/>
  <c r="E72" i="8"/>
  <c r="E77" i="8" s="1"/>
  <c r="D72" i="8"/>
  <c r="D77" i="8" s="1"/>
  <c r="C72" i="8"/>
  <c r="C77" i="8" s="1"/>
  <c r="G68" i="8"/>
  <c r="F68" i="8"/>
  <c r="E68" i="8"/>
  <c r="D68" i="8"/>
  <c r="C68" i="8"/>
  <c r="G63" i="8"/>
  <c r="F63" i="8"/>
  <c r="E63" i="8"/>
  <c r="D63" i="8"/>
  <c r="C63" i="8"/>
  <c r="G60" i="8"/>
  <c r="F60" i="8"/>
  <c r="E60" i="8"/>
  <c r="D60" i="8"/>
  <c r="C60" i="8"/>
  <c r="G48" i="8"/>
  <c r="F48" i="8"/>
  <c r="E48" i="8"/>
  <c r="D48" i="8"/>
  <c r="C48" i="8"/>
  <c r="G25" i="8"/>
  <c r="F25" i="8"/>
  <c r="E25" i="8"/>
  <c r="D25" i="8"/>
  <c r="C25" i="8"/>
  <c r="G19" i="8"/>
  <c r="F19" i="8"/>
  <c r="E19" i="8"/>
  <c r="D19" i="8"/>
  <c r="C19" i="8"/>
  <c r="G16" i="8"/>
  <c r="F16" i="8"/>
  <c r="E16" i="8"/>
  <c r="D16" i="8"/>
  <c r="C16" i="8"/>
  <c r="G5" i="8"/>
  <c r="F5" i="8"/>
  <c r="E5" i="8"/>
  <c r="D5" i="8"/>
  <c r="C5" i="8"/>
  <c r="D4" i="8"/>
  <c r="E4" i="8" s="1"/>
  <c r="F4" i="8" s="1"/>
  <c r="G4" i="8" s="1"/>
  <c r="H4" i="8" s="1"/>
  <c r="I4" i="8" s="1"/>
  <c r="J4" i="8" s="1"/>
  <c r="K4" i="8" s="1"/>
  <c r="L4" i="8" s="1"/>
  <c r="M4" i="8" s="1"/>
  <c r="N4" i="8" s="1"/>
  <c r="O4" i="8" s="1"/>
  <c r="P4" i="8" s="1"/>
  <c r="Q4" i="8" s="1"/>
  <c r="R4" i="8" s="1"/>
  <c r="S4" i="8" s="1"/>
  <c r="T4" i="8" s="1"/>
  <c r="U4" i="8" s="1"/>
  <c r="V4" i="8" s="1"/>
  <c r="W4" i="8" s="1"/>
  <c r="X4" i="8" s="1"/>
  <c r="Y4" i="8" s="1"/>
  <c r="Z4" i="8" s="1"/>
  <c r="AA4" i="8" s="1"/>
  <c r="AB4" i="8" s="1"/>
  <c r="AC4" i="8" s="1"/>
  <c r="AD4" i="8" s="1"/>
  <c r="I64" i="8" l="1"/>
  <c r="I65" i="8"/>
  <c r="I67" i="8"/>
  <c r="I69" i="8" s="1"/>
  <c r="I76" i="8" s="1"/>
  <c r="I75" i="8" s="1"/>
  <c r="E100" i="8"/>
  <c r="E101" i="8"/>
  <c r="G100" i="8"/>
  <c r="G101" i="8"/>
  <c r="H41" i="8"/>
  <c r="F100" i="8"/>
  <c r="F101" i="8"/>
  <c r="C101" i="8"/>
  <c r="D101" i="8"/>
  <c r="C100" i="8"/>
  <c r="D100" i="8"/>
  <c r="C97" i="8"/>
  <c r="G97" i="8"/>
  <c r="H94" i="8"/>
  <c r="H93" i="8"/>
  <c r="H56" i="8"/>
  <c r="E97" i="8"/>
  <c r="F97" i="8"/>
  <c r="D97" i="8"/>
  <c r="G32" i="8"/>
  <c r="G41" i="8" s="1"/>
  <c r="C32" i="8"/>
  <c r="C41" i="8" s="1"/>
  <c r="F32" i="8"/>
  <c r="F41" i="8" s="1"/>
  <c r="D32" i="8"/>
  <c r="D53" i="8" s="1"/>
  <c r="E32" i="8"/>
  <c r="E41" i="8" s="1"/>
  <c r="F77" i="8"/>
  <c r="C53" i="8" l="1"/>
  <c r="C94" i="8" s="1"/>
  <c r="H73" i="8"/>
  <c r="H71" i="8" s="1"/>
  <c r="H62" i="8"/>
  <c r="H57" i="8"/>
  <c r="E53" i="8"/>
  <c r="E94" i="8" s="1"/>
  <c r="G53" i="8"/>
  <c r="G93" i="8" s="1"/>
  <c r="F53" i="8"/>
  <c r="F56" i="8" s="1"/>
  <c r="D41" i="8"/>
  <c r="D56" i="8"/>
  <c r="D94" i="8"/>
  <c r="D93" i="8"/>
  <c r="C56" i="8" l="1"/>
  <c r="C57" i="8" s="1"/>
  <c r="C93" i="8"/>
  <c r="H67" i="8"/>
  <c r="H69" i="8" s="1"/>
  <c r="H76" i="8" s="1"/>
  <c r="H75" i="8" s="1"/>
  <c r="H65" i="8"/>
  <c r="H64" i="8"/>
  <c r="G94" i="8"/>
  <c r="G56" i="8"/>
  <c r="G57" i="8" s="1"/>
  <c r="E93" i="8"/>
  <c r="E56" i="8"/>
  <c r="E73" i="8" s="1"/>
  <c r="E71" i="8" s="1"/>
  <c r="F94" i="8"/>
  <c r="F93" i="8"/>
  <c r="D73" i="8"/>
  <c r="D71" i="8" s="1"/>
  <c r="D62" i="8"/>
  <c r="D57" i="8"/>
  <c r="F73" i="8"/>
  <c r="F71" i="8" s="1"/>
  <c r="F62" i="8"/>
  <c r="F57" i="8"/>
  <c r="C73" i="8" l="1"/>
  <c r="C71" i="8" s="1"/>
  <c r="C62" i="8"/>
  <c r="E57" i="8"/>
  <c r="G73" i="8"/>
  <c r="G71" i="8" s="1"/>
  <c r="G62" i="8"/>
  <c r="E62" i="8"/>
  <c r="D64" i="8"/>
  <c r="D67" i="8"/>
  <c r="D69" i="8" s="1"/>
  <c r="D76" i="8" s="1"/>
  <c r="D75" i="8" s="1"/>
  <c r="D65" i="8"/>
  <c r="F65" i="8"/>
  <c r="F64" i="8"/>
  <c r="F67" i="8"/>
  <c r="F69" i="8" s="1"/>
  <c r="F76" i="8" s="1"/>
  <c r="F75" i="8" s="1"/>
  <c r="E64" i="8" l="1"/>
  <c r="G64" i="8"/>
  <c r="C64" i="8"/>
  <c r="C65" i="8"/>
  <c r="C67" i="8"/>
  <c r="C69" i="8" s="1"/>
  <c r="C76" i="8" s="1"/>
  <c r="C75" i="8" s="1"/>
  <c r="E67" i="8"/>
  <c r="E69" i="8" s="1"/>
  <c r="E76" i="8" s="1"/>
  <c r="E75" i="8" s="1"/>
  <c r="E65" i="8"/>
  <c r="G65" i="8"/>
  <c r="G67" i="8"/>
  <c r="G69" i="8" s="1"/>
  <c r="G76" i="8" s="1"/>
  <c r="G75" i="8" s="1"/>
  <c r="C1" i="8" l="1"/>
</calcChain>
</file>

<file path=xl/sharedStrings.xml><?xml version="1.0" encoding="utf-8"?>
<sst xmlns="http://schemas.openxmlformats.org/spreadsheetml/2006/main" count="497" uniqueCount="280">
  <si>
    <t>Classificação ANBIMA</t>
  </si>
  <si>
    <t>Custodiante</t>
  </si>
  <si>
    <t>Administrador</t>
  </si>
  <si>
    <t>Objetivo</t>
  </si>
  <si>
    <t>Gestor</t>
  </si>
  <si>
    <t>Escriturador</t>
  </si>
  <si>
    <t>Auditor Independente</t>
  </si>
  <si>
    <t>Taxa de Administração</t>
  </si>
  <si>
    <t>0,75% a.a.</t>
  </si>
  <si>
    <t>0,95% a.a.</t>
  </si>
  <si>
    <t>0,85% a.a.</t>
  </si>
  <si>
    <t>Taxa de Performance</t>
  </si>
  <si>
    <t>20% da rentabilidade, já deduzidas todas as taxas e despesas pagas pelo Fundo, que exceder a variação acumulada do IPCA acrescido de 6% ao ano.</t>
  </si>
  <si>
    <t>Mensal, sendo que será distribuído no mínimo 95% do lucro auferido pelo Fundo semestralmente em regime de caixa.</t>
  </si>
  <si>
    <t>Negociação</t>
  </si>
  <si>
    <t>Ernst Young Auditores Independentes S/S</t>
  </si>
  <si>
    <t>Valor de Mercado do Fundo</t>
  </si>
  <si>
    <t>Até R$500M</t>
  </si>
  <si>
    <t>De R$500M até R$1bi</t>
  </si>
  <si>
    <t>Acima de R$1bi</t>
  </si>
  <si>
    <t>Distribuição de Rendimentos</t>
  </si>
  <si>
    <t>Estado</t>
  </si>
  <si>
    <t>SP</t>
  </si>
  <si>
    <t>Investimento imobiliário em galpões logísticos objetivando obtenção de renda por meio de locação dos ativos e lucros imobiliários mediante reciclagem de portfólio.</t>
  </si>
  <si>
    <t>FII Renda/Gestão Ativa/Logístico</t>
  </si>
  <si>
    <t>Vórtx Distribuidora de Títulos e Valores Mobiliários Ltda.</t>
  </si>
  <si>
    <t>Oliveira Trust Distribuidora de Títulos e Valores Mobiliários S.A.</t>
  </si>
  <si>
    <t>Valor mínimo mensal: R$ 25.000,00, atualizado anualmente segundo a variação do IPCA</t>
  </si>
  <si>
    <t>As cotas são negociadas na B3 sob o código XPLG11.</t>
  </si>
  <si>
    <t>Demonstrativo do Resultado do Exercício (Base Caixa)</t>
  </si>
  <si>
    <t>Receitas propriedades para investimentos</t>
  </si>
  <si>
    <t>(-) Provisão para crédito de liquidação duvidosa</t>
  </si>
  <si>
    <t>Reversão provisão para crédito de liquidação duvidosa</t>
  </si>
  <si>
    <t>Receitas de  multas e juros recebidos</t>
  </si>
  <si>
    <t>Receitas de vendas de propriedade para investimento</t>
  </si>
  <si>
    <t>Receita com multa rescisória</t>
  </si>
  <si>
    <t>Receita com estacionamento</t>
  </si>
  <si>
    <t>(-) Despesas com tributos municipais, estaduais e federais</t>
  </si>
  <si>
    <t>Outras Receitas</t>
  </si>
  <si>
    <t>Custo propriedades para investimento</t>
  </si>
  <si>
    <t>Custo de  propriedades para investimentos vendidas</t>
  </si>
  <si>
    <t>Despesa juros e atualização monetária de Captação e aquisição de imóveis</t>
  </si>
  <si>
    <t>Despesas de juros com obrigações por compra de imóveis</t>
  </si>
  <si>
    <t>Despesas de atualização monetária com obrigações por compra de imóveis</t>
  </si>
  <si>
    <t>Despesas de juros com captação de recursos</t>
  </si>
  <si>
    <t>Despesas de atualização monetária com captação de recursos</t>
  </si>
  <si>
    <t>Despesa administrativa dos imóveis</t>
  </si>
  <si>
    <t>Despesas de comissões</t>
  </si>
  <si>
    <t>Despesa administração do imóvel</t>
  </si>
  <si>
    <t>Despesas de condomínio</t>
  </si>
  <si>
    <t>Despesa de reparos, manutenção e conservação de imóveis</t>
  </si>
  <si>
    <t>Outras despesas de propriedade</t>
  </si>
  <si>
    <t>Resultado de propriedade de investimentos</t>
  </si>
  <si>
    <t>Resultado de Ativos Financeiros de Natureza Imobiliária</t>
  </si>
  <si>
    <t>Certificados de recebivéis imobiliários (CRI)</t>
  </si>
  <si>
    <t xml:space="preserve"> Letras de crédito imobiliário </t>
  </si>
  <si>
    <t>Ajuste ao valor justo (CRI)</t>
  </si>
  <si>
    <t>Ajuste ao valor justo (cotas de fundos imobiliários)</t>
  </si>
  <si>
    <t>Resultado líquido de atividades imobiliárias</t>
  </si>
  <si>
    <t>Outros Ativos Financeiros</t>
  </si>
  <si>
    <t>Receitas com cotas de fundo de renda fixa (líquida de impostos)</t>
  </si>
  <si>
    <t>Receitas (despesas) operacionais</t>
  </si>
  <si>
    <t>Despesas de Gestão</t>
  </si>
  <si>
    <t>Outras despesas operacionais</t>
  </si>
  <si>
    <t>Lucro líquido do período</t>
  </si>
  <si>
    <t>Ajuste na distribuição</t>
  </si>
  <si>
    <t>Lucro líquido ajustado do período</t>
  </si>
  <si>
    <t>Resultado  por cota</t>
  </si>
  <si>
    <t>Quantidade de cotas</t>
  </si>
  <si>
    <t>Distribuição/Cota</t>
  </si>
  <si>
    <t>Distribuição Total</t>
  </si>
  <si>
    <t>FFO - Funds From Operation</t>
  </si>
  <si>
    <t>Outros Ajustes</t>
  </si>
  <si>
    <t>%FFO</t>
  </si>
  <si>
    <t>FFO (R$/Cota)</t>
  </si>
  <si>
    <t>FFO Ajustado *</t>
  </si>
  <si>
    <t>Despesas financeiras não-caixa</t>
  </si>
  <si>
    <t>FFO Ajustado * / Cota</t>
  </si>
  <si>
    <t>Preço / Lucro (P/E)</t>
  </si>
  <si>
    <t>Valor de Mercado</t>
  </si>
  <si>
    <t>Lucro</t>
  </si>
  <si>
    <t>Rentabilidade (FFO Ajustado Anualizado / Preço)</t>
  </si>
  <si>
    <t>Valor de Fechamento</t>
  </si>
  <si>
    <t>Balanço do Fundo</t>
  </si>
  <si>
    <t>Ativo Circulante</t>
  </si>
  <si>
    <t>Outros Ativos Circulante</t>
  </si>
  <si>
    <t>Ativo Não Circulante</t>
  </si>
  <si>
    <t>Outros Ativos Não Circulante</t>
  </si>
  <si>
    <t>Patrimônio Líquido</t>
  </si>
  <si>
    <t>Passivo Circulante</t>
  </si>
  <si>
    <t>Passivo Não Circulante</t>
  </si>
  <si>
    <t>Análise do Balanço</t>
  </si>
  <si>
    <t>Margem Líquida (Resultado Líquido / Receita Operacional Líquida)</t>
  </si>
  <si>
    <t>ROE (Resultado Líquido / (PL Médio - Resultado Líquido)</t>
  </si>
  <si>
    <t>Índices de Estutura de Capital</t>
  </si>
  <si>
    <t>Paritcipação de Capital de Terceiros (Passivo Circulante + Exigivel a longo prazo) / Ativo</t>
  </si>
  <si>
    <t>Imobilização do PL (Ativo Permanente / PL)</t>
  </si>
  <si>
    <t>XP Log Fundo de Investimento Imobiliário - FII</t>
  </si>
  <si>
    <t>MG</t>
  </si>
  <si>
    <t>Cidade</t>
  </si>
  <si>
    <t>Itapeva</t>
  </si>
  <si>
    <t>Americana</t>
  </si>
  <si>
    <t>RS</t>
  </si>
  <si>
    <t>Cachoeirinha</t>
  </si>
  <si>
    <t>Ribeirão Preto</t>
  </si>
  <si>
    <t>Área Construída</t>
  </si>
  <si>
    <t>Tipo de contrato</t>
  </si>
  <si>
    <t>Atípico</t>
  </si>
  <si>
    <t>Típico</t>
  </si>
  <si>
    <t>Vencimento contrato</t>
  </si>
  <si>
    <t>Outubro</t>
  </si>
  <si>
    <t>Abril</t>
  </si>
  <si>
    <t>Novembro</t>
  </si>
  <si>
    <t>Julho</t>
  </si>
  <si>
    <t>IPCA/IBGE</t>
  </si>
  <si>
    <t>IPC/Fipe</t>
  </si>
  <si>
    <t>Locatário</t>
  </si>
  <si>
    <t>Dia%</t>
  </si>
  <si>
    <t>Leroy Merlin</t>
  </si>
  <si>
    <t>Cajamar</t>
  </si>
  <si>
    <t>Rod. dos Bandeirantes, km 34</t>
  </si>
  <si>
    <t>n/a</t>
  </si>
  <si>
    <t>Dezembro</t>
  </si>
  <si>
    <t>XP Vista Asset Management LTDA.</t>
  </si>
  <si>
    <t>SC</t>
  </si>
  <si>
    <t>São José</t>
  </si>
  <si>
    <t>Av. Osvaldo José do Amaral, s/n</t>
  </si>
  <si>
    <t>Obs.: cálculo em regra de cascata, conforme regulamento</t>
  </si>
  <si>
    <t>Especulativo Cajamar</t>
  </si>
  <si>
    <t>Seara</t>
  </si>
  <si>
    <t>Aurora</t>
  </si>
  <si>
    <t>Martin Brower</t>
  </si>
  <si>
    <t>Fedex</t>
  </si>
  <si>
    <t>Magneti Marelli</t>
  </si>
  <si>
    <t>Grupo Lagoa</t>
  </si>
  <si>
    <t>Autometal</t>
  </si>
  <si>
    <t>Comer Bem</t>
  </si>
  <si>
    <t>RG LOG</t>
  </si>
  <si>
    <t>Indusback</t>
  </si>
  <si>
    <t>Scalt</t>
  </si>
  <si>
    <t>RR Log Logística</t>
  </si>
  <si>
    <t>PE</t>
  </si>
  <si>
    <t>Vacância WTTP2</t>
  </si>
  <si>
    <t>Cabo de Santo Agostinho</t>
  </si>
  <si>
    <t>Barueri</t>
  </si>
  <si>
    <t>Setembro</t>
  </si>
  <si>
    <t>Janeiro</t>
  </si>
  <si>
    <t>Fevereiro</t>
  </si>
  <si>
    <t>Maio</t>
  </si>
  <si>
    <t>Março</t>
  </si>
  <si>
    <t>IGP-M</t>
  </si>
  <si>
    <t>Av. Ceci, 1.649</t>
  </si>
  <si>
    <t>Check</t>
  </si>
  <si>
    <t>Imóveis para Renda*</t>
  </si>
  <si>
    <t>Receita de aluguel (inclui o rendimento do FII NE Logistic)</t>
  </si>
  <si>
    <t>Rendimentos de Cotas de Fundos Imobiliários (fundos terceiros)</t>
  </si>
  <si>
    <t>*Inclui o fundo NE Logistic FII (valor líquido entre ativos e passivos) que investe nos galpões do Cone Multimodal (Cabo de Santo Agostinho/PE)</t>
  </si>
  <si>
    <t>**</t>
  </si>
  <si>
    <t>Cuiabá</t>
  </si>
  <si>
    <t>Labet</t>
  </si>
  <si>
    <t>Quest</t>
  </si>
  <si>
    <t>Volo</t>
  </si>
  <si>
    <t>Eletrobras</t>
  </si>
  <si>
    <t>Jormargil</t>
  </si>
  <si>
    <t>Premier Pet</t>
  </si>
  <si>
    <t>Tac Franquia</t>
  </si>
  <si>
    <t>Total Alimentos</t>
  </si>
  <si>
    <t>Santana de Parnaíba</t>
  </si>
  <si>
    <t>RJ</t>
  </si>
  <si>
    <t>Duque de Caxias</t>
  </si>
  <si>
    <t>Avenida OL-1</t>
  </si>
  <si>
    <t>Setor de Atuação do Locatário</t>
  </si>
  <si>
    <t>Suprimentos e Papel</t>
  </si>
  <si>
    <t>Comércio Varejista</t>
  </si>
  <si>
    <t>Saúde</t>
  </si>
  <si>
    <t>Logístico</t>
  </si>
  <si>
    <t>Energia</t>
  </si>
  <si>
    <t xml:space="preserve">Farmacêuticos </t>
  </si>
  <si>
    <t>Agosto</t>
  </si>
  <si>
    <t>Eletroeletrônicos</t>
  </si>
  <si>
    <t>Comércio e Distrib. de Alimentos</t>
  </si>
  <si>
    <t>Material de Construção</t>
  </si>
  <si>
    <t>Alimentos Processados</t>
  </si>
  <si>
    <t>Logística</t>
  </si>
  <si>
    <t>Remessa Expressa</t>
  </si>
  <si>
    <t>Automotivo</t>
  </si>
  <si>
    <t>Especulativo</t>
  </si>
  <si>
    <t>Mês de Correção monetária</t>
  </si>
  <si>
    <t>Indexador</t>
  </si>
  <si>
    <t>Subtotal Região Sudeste</t>
  </si>
  <si>
    <t>% ABL</t>
  </si>
  <si>
    <t>Subtotal Região Nordeste</t>
  </si>
  <si>
    <t>Total</t>
  </si>
  <si>
    <t>Vacância Cone Multimodal</t>
  </si>
  <si>
    <t>Via José Luiz Galvão, 1.905</t>
  </si>
  <si>
    <t>Ribeirão Preto, SP</t>
  </si>
  <si>
    <r>
      <rPr>
        <b/>
        <sz val="11"/>
        <color theme="1"/>
        <rFont val="Calibri"/>
        <family val="2"/>
        <scheme val="minor"/>
      </rPr>
      <t>Participação:</t>
    </r>
    <r>
      <rPr>
        <sz val="11"/>
        <color theme="1"/>
        <rFont val="Calibri"/>
        <family val="2"/>
        <scheme val="minor"/>
      </rPr>
      <t xml:space="preserve"> 100%</t>
    </r>
  </si>
  <si>
    <t>Rua João de Pádula, 245</t>
  </si>
  <si>
    <r>
      <rPr>
        <b/>
        <sz val="11"/>
        <color theme="1"/>
        <rFont val="Calibri"/>
        <family val="2"/>
        <scheme val="minor"/>
      </rPr>
      <t xml:space="preserve">Área construída: </t>
    </r>
    <r>
      <rPr>
        <sz val="11"/>
        <color theme="1"/>
        <rFont val="Calibri"/>
        <family val="2"/>
        <scheme val="minor"/>
      </rPr>
      <t xml:space="preserve">21.136 m²
</t>
    </r>
  </si>
  <si>
    <r>
      <rPr>
        <b/>
        <sz val="11"/>
        <color theme="1"/>
        <rFont val="Calibri"/>
        <family val="2"/>
        <scheme val="minor"/>
      </rPr>
      <t xml:space="preserve">Área construída: </t>
    </r>
    <r>
      <rPr>
        <sz val="11"/>
        <color theme="1"/>
        <rFont val="Calibri"/>
        <family val="2"/>
        <scheme val="minor"/>
      </rPr>
      <t xml:space="preserve">30.345 m²
</t>
    </r>
  </si>
  <si>
    <t>Americana, SP</t>
  </si>
  <si>
    <r>
      <rPr>
        <b/>
        <sz val="11"/>
        <color theme="1"/>
        <rFont val="Calibri"/>
        <family val="2"/>
        <scheme val="minor"/>
      </rPr>
      <t>Área construída:</t>
    </r>
    <r>
      <rPr>
        <sz val="11"/>
        <color theme="1"/>
        <rFont val="Calibri"/>
        <family val="2"/>
        <scheme val="minor"/>
      </rPr>
      <t xml:space="preserve"> 23.454 m²</t>
    </r>
  </si>
  <si>
    <t>Itapeva, MG</t>
  </si>
  <si>
    <t>Estrada do Mandu, 250</t>
  </si>
  <si>
    <r>
      <rPr>
        <b/>
        <sz val="11"/>
        <color theme="1"/>
        <rFont val="Calibri"/>
        <family val="2"/>
        <scheme val="minor"/>
      </rPr>
      <t>Área construída:</t>
    </r>
    <r>
      <rPr>
        <sz val="11"/>
        <color theme="1"/>
        <rFont val="Calibri"/>
        <family val="2"/>
        <scheme val="minor"/>
      </rPr>
      <t xml:space="preserve"> 125.717 m²</t>
    </r>
  </si>
  <si>
    <t>Cajamar, SP</t>
  </si>
  <si>
    <t>CD Leroy</t>
  </si>
  <si>
    <t xml:space="preserve">WTTP II </t>
  </si>
  <si>
    <t>Barueri, SP</t>
  </si>
  <si>
    <r>
      <rPr>
        <b/>
        <sz val="11"/>
        <color theme="1"/>
        <rFont val="Calibri"/>
        <family val="2"/>
        <scheme val="minor"/>
      </rPr>
      <t>Área construída:</t>
    </r>
    <r>
      <rPr>
        <sz val="11"/>
        <color theme="1"/>
        <rFont val="Calibri"/>
        <family val="2"/>
        <scheme val="minor"/>
      </rPr>
      <t xml:space="preserve"> 24.654 m²*</t>
    </r>
  </si>
  <si>
    <r>
      <rPr>
        <b/>
        <sz val="11"/>
        <color theme="1"/>
        <rFont val="Calibri"/>
        <family val="2"/>
        <scheme val="minor"/>
      </rPr>
      <t>Participação:</t>
    </r>
    <r>
      <rPr>
        <sz val="11"/>
        <color theme="1"/>
        <rFont val="Calibri"/>
        <family val="2"/>
        <scheme val="minor"/>
      </rPr>
      <t xml:space="preserve"> *80%</t>
    </r>
  </si>
  <si>
    <t>CD Panasonic</t>
  </si>
  <si>
    <t>CD Dia% Americana</t>
  </si>
  <si>
    <t>CD Dia% Ribeirão</t>
  </si>
  <si>
    <r>
      <rPr>
        <b/>
        <sz val="11"/>
        <color theme="1"/>
        <rFont val="Calibri"/>
        <family val="2"/>
        <scheme val="minor"/>
      </rPr>
      <t>Área construída:</t>
    </r>
    <r>
      <rPr>
        <sz val="11"/>
        <color theme="1"/>
        <rFont val="Calibri"/>
        <family val="2"/>
        <scheme val="minor"/>
      </rPr>
      <t xml:space="preserve"> 57.034 m²</t>
    </r>
  </si>
  <si>
    <t>Duque de Caxias, RJ</t>
  </si>
  <si>
    <t>Santana Business Park</t>
  </si>
  <si>
    <t>Santana de Parnaíba, SP</t>
  </si>
  <si>
    <t>Est. Tenente Marques, 1.818</t>
  </si>
  <si>
    <r>
      <rPr>
        <b/>
        <sz val="11"/>
        <color theme="1"/>
        <rFont val="Calibri"/>
        <family val="2"/>
        <scheme val="minor"/>
      </rPr>
      <t>Área construída:</t>
    </r>
    <r>
      <rPr>
        <sz val="11"/>
        <color theme="1"/>
        <rFont val="Calibri"/>
        <family val="2"/>
        <scheme val="minor"/>
      </rPr>
      <t xml:space="preserve"> 31.221 m²</t>
    </r>
  </si>
  <si>
    <t>CD Via Varejo</t>
  </si>
  <si>
    <t>Rua Lenine Queiróz, 333</t>
  </si>
  <si>
    <r>
      <rPr>
        <b/>
        <sz val="11"/>
        <color theme="1"/>
        <rFont val="Calibri"/>
        <family val="2"/>
        <scheme val="minor"/>
      </rPr>
      <t>Área construída:</t>
    </r>
    <r>
      <rPr>
        <sz val="11"/>
        <color theme="1"/>
        <rFont val="Calibri"/>
        <family val="2"/>
        <scheme val="minor"/>
      </rPr>
      <t xml:space="preserve"> 38.410 m²</t>
    </r>
  </si>
  <si>
    <t>Cachoeirinha, RS</t>
  </si>
  <si>
    <t>CD Renner</t>
  </si>
  <si>
    <t>São José, SC</t>
  </si>
  <si>
    <t>Cabo de Santo Agostinho, PE</t>
  </si>
  <si>
    <r>
      <rPr>
        <b/>
        <sz val="11"/>
        <color theme="1"/>
        <rFont val="Calibri"/>
        <family val="2"/>
        <scheme val="minor"/>
      </rPr>
      <t xml:space="preserve">Área construída: </t>
    </r>
    <r>
      <rPr>
        <sz val="11"/>
        <color theme="1"/>
        <rFont val="Calibri"/>
        <family val="2"/>
        <scheme val="minor"/>
      </rPr>
      <t>23.025 m²*</t>
    </r>
  </si>
  <si>
    <r>
      <rPr>
        <b/>
        <sz val="11"/>
        <color theme="1"/>
        <rFont val="Calibri"/>
        <family val="2"/>
        <scheme val="minor"/>
      </rPr>
      <t>Participação:</t>
    </r>
    <r>
      <rPr>
        <sz val="11"/>
        <color theme="1"/>
        <rFont val="Calibri"/>
        <family val="2"/>
        <scheme val="minor"/>
      </rPr>
      <t xml:space="preserve"> *90%</t>
    </r>
  </si>
  <si>
    <t>ROD BR101, Sul Km 96,4, 5.225</t>
  </si>
  <si>
    <t>ROD BR101, Sul Nº 2.220</t>
  </si>
  <si>
    <r>
      <rPr>
        <b/>
        <sz val="11"/>
        <color theme="1"/>
        <rFont val="Calibri"/>
        <family val="2"/>
        <scheme val="minor"/>
      </rPr>
      <t xml:space="preserve">Área construída: </t>
    </r>
    <r>
      <rPr>
        <sz val="11"/>
        <color theme="1"/>
        <rFont val="Calibri"/>
        <family val="2"/>
        <scheme val="minor"/>
      </rPr>
      <t>203.074 m²</t>
    </r>
  </si>
  <si>
    <r>
      <t>Cone Multimodal</t>
    </r>
    <r>
      <rPr>
        <b/>
        <sz val="8"/>
        <color theme="1"/>
        <rFont val="Calibri"/>
        <family val="2"/>
        <scheme val="minor"/>
      </rPr>
      <t xml:space="preserve"> </t>
    </r>
    <r>
      <rPr>
        <b/>
        <sz val="7"/>
        <color theme="1"/>
        <rFont val="Calibri"/>
        <family val="2"/>
        <scheme val="minor"/>
      </rPr>
      <t>(MM1, MM2 e PP2)</t>
    </r>
  </si>
  <si>
    <t>CD Unilever (MM1)</t>
  </si>
  <si>
    <r>
      <rPr>
        <b/>
        <sz val="11"/>
        <color theme="1"/>
        <rFont val="Calibri"/>
        <family val="2"/>
        <scheme val="minor"/>
      </rPr>
      <t xml:space="preserve">Área construída: </t>
    </r>
    <r>
      <rPr>
        <sz val="11"/>
        <color theme="1"/>
        <rFont val="Calibri"/>
        <family val="2"/>
        <scheme val="minor"/>
      </rPr>
      <t>110.209 m²</t>
    </r>
  </si>
  <si>
    <t>Subtotal Região Sul</t>
  </si>
  <si>
    <r>
      <rPr>
        <b/>
        <sz val="11"/>
        <color theme="1"/>
        <rFont val="Calibri"/>
        <family val="2"/>
        <scheme val="minor"/>
      </rPr>
      <t xml:space="preserve">Área construída: </t>
    </r>
    <r>
      <rPr>
        <sz val="11"/>
        <color theme="1"/>
        <rFont val="Calibri"/>
        <family val="2"/>
        <scheme val="minor"/>
      </rPr>
      <t>47.913 m²</t>
    </r>
  </si>
  <si>
    <t>(1) Em setembro de 2018 foi estornada a taxa de gestão provisionada no fundo em conformidade ao Comunicado ao Mercado divulgado em 06/09/2018. O Gestor, por sua mera liberalidade, abdicou, até o momento, integralmente de sua remuneração com vistas às alcançar a distribuição de R$ 7,0/cota nos doze primeiros meses do fundo.</t>
  </si>
  <si>
    <t>Receita de Cotas de FIIs a mercado (ganho de capital)</t>
  </si>
  <si>
    <t>Receita de Cotas de FIIs a mercado (rendimentos)</t>
  </si>
  <si>
    <t>Indeterminado</t>
  </si>
  <si>
    <t>Superprix</t>
  </si>
  <si>
    <t>Syslog São Paulo</t>
  </si>
  <si>
    <t>Syslog RJ</t>
  </si>
  <si>
    <t>São Paulo (Distrito de Perus), SP</t>
  </si>
  <si>
    <t>ROD Anhanguera, km 26</t>
  </si>
  <si>
    <r>
      <rPr>
        <b/>
        <sz val="11"/>
        <color theme="1"/>
        <rFont val="Calibri"/>
        <family val="2"/>
        <scheme val="minor"/>
      </rPr>
      <t>Área construída:</t>
    </r>
    <r>
      <rPr>
        <sz val="11"/>
        <color theme="1"/>
        <rFont val="Calibri"/>
        <family val="2"/>
        <scheme val="minor"/>
      </rPr>
      <t xml:space="preserve"> 66.378 m²*</t>
    </r>
  </si>
  <si>
    <r>
      <rPr>
        <b/>
        <sz val="11"/>
        <color theme="1"/>
        <rFont val="Calibri"/>
        <family val="2"/>
        <scheme val="minor"/>
      </rPr>
      <t>Participação:</t>
    </r>
    <r>
      <rPr>
        <sz val="11"/>
        <color theme="1"/>
        <rFont val="Calibri"/>
        <family val="2"/>
        <scheme val="minor"/>
      </rPr>
      <t xml:space="preserve"> *83%</t>
    </r>
  </si>
  <si>
    <r>
      <rPr>
        <b/>
        <sz val="11"/>
        <color theme="1"/>
        <rFont val="Calibri"/>
        <family val="2"/>
        <scheme val="minor"/>
      </rPr>
      <t>Pé-direito (m):</t>
    </r>
    <r>
      <rPr>
        <sz val="11"/>
        <color theme="1"/>
        <rFont val="Calibri"/>
        <family val="2"/>
        <scheme val="minor"/>
      </rPr>
      <t xml:space="preserve"> 12-15</t>
    </r>
  </si>
  <si>
    <r>
      <rPr>
        <b/>
        <sz val="11"/>
        <color theme="1"/>
        <rFont val="Calibri"/>
        <family val="2"/>
        <scheme val="minor"/>
      </rPr>
      <t>Pé-direito (m):</t>
    </r>
    <r>
      <rPr>
        <sz val="11"/>
        <color theme="1"/>
        <rFont val="Calibri"/>
        <family val="2"/>
        <scheme val="minor"/>
      </rPr>
      <t xml:space="preserve"> 12</t>
    </r>
  </si>
  <si>
    <r>
      <rPr>
        <b/>
        <sz val="11"/>
        <color theme="1"/>
        <rFont val="Calibri"/>
        <family val="2"/>
        <scheme val="minor"/>
      </rPr>
      <t>Pé-direito (m):</t>
    </r>
    <r>
      <rPr>
        <sz val="11"/>
        <color theme="1"/>
        <rFont val="Calibri"/>
        <family val="2"/>
        <scheme val="minor"/>
      </rPr>
      <t xml:space="preserve"> 11</t>
    </r>
  </si>
  <si>
    <r>
      <t xml:space="preserve">Capacidade do Piso (ton/m²): </t>
    </r>
    <r>
      <rPr>
        <sz val="11"/>
        <color theme="1"/>
        <rFont val="Calibri"/>
        <family val="2"/>
        <scheme val="minor"/>
      </rPr>
      <t>6</t>
    </r>
  </si>
  <si>
    <r>
      <t>Capacidade do Piso (ton/m²):</t>
    </r>
    <r>
      <rPr>
        <sz val="11"/>
        <color theme="1"/>
        <rFont val="Calibri"/>
        <family val="2"/>
        <scheme val="minor"/>
      </rPr>
      <t xml:space="preserve"> 6</t>
    </r>
  </si>
  <si>
    <t>Capacidade do Piso (ton/m²): 6</t>
  </si>
  <si>
    <r>
      <t xml:space="preserve">Capacidade do Piso (ton/m²): </t>
    </r>
    <r>
      <rPr>
        <sz val="11"/>
        <color theme="1"/>
        <rFont val="Calibri"/>
        <family val="2"/>
        <scheme val="minor"/>
      </rPr>
      <t>3-5</t>
    </r>
  </si>
  <si>
    <r>
      <rPr>
        <b/>
        <sz val="11"/>
        <color theme="1"/>
        <rFont val="Calibri"/>
        <family val="2"/>
        <scheme val="minor"/>
      </rPr>
      <t>Pé-direito (m):</t>
    </r>
    <r>
      <rPr>
        <sz val="11"/>
        <color theme="1"/>
        <rFont val="Calibri"/>
        <family val="2"/>
        <scheme val="minor"/>
      </rPr>
      <t xml:space="preserve"> 13,3</t>
    </r>
  </si>
  <si>
    <r>
      <rPr>
        <b/>
        <sz val="11"/>
        <color theme="1"/>
        <rFont val="Calibri"/>
        <family val="2"/>
        <scheme val="minor"/>
      </rPr>
      <t>Pé-direito (m):</t>
    </r>
    <r>
      <rPr>
        <sz val="11"/>
        <color theme="1"/>
        <rFont val="Calibri"/>
        <family val="2"/>
        <scheme val="minor"/>
      </rPr>
      <t xml:space="preserve"> 10</t>
    </r>
  </si>
  <si>
    <r>
      <t xml:space="preserve">Capacidade do Piso (ton/m²): </t>
    </r>
    <r>
      <rPr>
        <sz val="11"/>
        <color theme="1"/>
        <rFont val="Calibri"/>
        <family val="2"/>
        <scheme val="minor"/>
      </rPr>
      <t>5</t>
    </r>
  </si>
  <si>
    <r>
      <t xml:space="preserve">Capacidade do Piso (ton/m²): </t>
    </r>
    <r>
      <rPr>
        <sz val="11"/>
        <color theme="1"/>
        <rFont val="Calibri"/>
        <family val="2"/>
        <scheme val="minor"/>
      </rPr>
      <t>4</t>
    </r>
  </si>
  <si>
    <t>Capacidade do Piso (ton/m²): 3-5</t>
  </si>
  <si>
    <r>
      <t xml:space="preserve">Outubro </t>
    </r>
    <r>
      <rPr>
        <b/>
        <vertAlign val="superscript"/>
        <sz val="12"/>
        <color theme="4"/>
        <rFont val="Calibri"/>
        <family val="2"/>
        <scheme val="minor"/>
      </rPr>
      <t>1</t>
    </r>
  </si>
  <si>
    <r>
      <t xml:space="preserve">30/04/22 </t>
    </r>
    <r>
      <rPr>
        <b/>
        <vertAlign val="superscript"/>
        <sz val="12"/>
        <color theme="4"/>
        <rFont val="Calibri"/>
        <family val="2"/>
        <scheme val="minor"/>
      </rPr>
      <t>2</t>
    </r>
  </si>
  <si>
    <r>
      <t xml:space="preserve">01/02/36 </t>
    </r>
    <r>
      <rPr>
        <b/>
        <vertAlign val="superscript"/>
        <sz val="11"/>
        <color theme="4"/>
        <rFont val="Calibri"/>
        <family val="2"/>
        <scheme val="minor"/>
      </rPr>
      <t>4</t>
    </r>
  </si>
  <si>
    <r>
      <t>Autopel</t>
    </r>
    <r>
      <rPr>
        <b/>
        <vertAlign val="superscript"/>
        <sz val="11"/>
        <color theme="8"/>
        <rFont val="Calibri"/>
        <family val="2"/>
        <scheme val="minor"/>
      </rPr>
      <t xml:space="preserve"> 9</t>
    </r>
  </si>
  <si>
    <r>
      <t>Ecopaper</t>
    </r>
    <r>
      <rPr>
        <b/>
        <vertAlign val="superscript"/>
        <sz val="11"/>
        <color theme="8"/>
        <rFont val="Calibri"/>
        <family val="2"/>
        <scheme val="minor"/>
      </rPr>
      <t xml:space="preserve"> 9</t>
    </r>
  </si>
  <si>
    <r>
      <t xml:space="preserve">Panasonic do Brasil </t>
    </r>
    <r>
      <rPr>
        <b/>
        <vertAlign val="superscript"/>
        <sz val="12"/>
        <color theme="4"/>
        <rFont val="Calibri"/>
        <family val="2"/>
        <scheme val="minor"/>
      </rPr>
      <t>7</t>
    </r>
  </si>
  <si>
    <r>
      <t xml:space="preserve">01/06/20 </t>
    </r>
    <r>
      <rPr>
        <b/>
        <vertAlign val="superscript"/>
        <sz val="12"/>
        <color theme="4"/>
        <rFont val="Calibri"/>
        <family val="2"/>
        <scheme val="minor"/>
      </rPr>
      <t>5</t>
    </r>
  </si>
  <si>
    <r>
      <t xml:space="preserve">Vacância Syslog </t>
    </r>
    <r>
      <rPr>
        <b/>
        <vertAlign val="superscript"/>
        <sz val="12"/>
        <color theme="4"/>
        <rFont val="Calibri"/>
        <family val="2"/>
        <scheme val="minor"/>
      </rPr>
      <t>6</t>
    </r>
  </si>
  <si>
    <r>
      <t xml:space="preserve">Via Varejo </t>
    </r>
    <r>
      <rPr>
        <b/>
        <vertAlign val="superscript"/>
        <sz val="12"/>
        <color theme="4"/>
        <rFont val="Calibri"/>
        <family val="2"/>
        <scheme val="minor"/>
      </rPr>
      <t>12</t>
    </r>
  </si>
  <si>
    <r>
      <t xml:space="preserve">GPA </t>
    </r>
    <r>
      <rPr>
        <b/>
        <vertAlign val="superscript"/>
        <sz val="12"/>
        <color theme="4"/>
        <rFont val="Calibri"/>
        <family val="2"/>
        <scheme val="minor"/>
      </rPr>
      <t>11</t>
    </r>
  </si>
  <si>
    <r>
      <t xml:space="preserve">Unilever </t>
    </r>
    <r>
      <rPr>
        <b/>
        <vertAlign val="superscript"/>
        <sz val="12"/>
        <color theme="4"/>
        <rFont val="Calibri"/>
        <family val="2"/>
        <scheme val="minor"/>
      </rPr>
      <t>10</t>
    </r>
  </si>
  <si>
    <r>
      <t xml:space="preserve">14/08/2020 </t>
    </r>
    <r>
      <rPr>
        <vertAlign val="superscript"/>
        <sz val="11"/>
        <color theme="4"/>
        <rFont val="Calibri"/>
        <family val="2"/>
        <scheme val="minor"/>
      </rPr>
      <t>5</t>
    </r>
  </si>
  <si>
    <r>
      <t xml:space="preserve">Lojas Renner </t>
    </r>
    <r>
      <rPr>
        <b/>
        <vertAlign val="superscript"/>
        <sz val="12"/>
        <color theme="4"/>
        <rFont val="Calibri"/>
        <family val="2"/>
        <scheme val="minor"/>
      </rPr>
      <t>9</t>
    </r>
  </si>
  <si>
    <r>
      <t xml:space="preserve">Via Varejo </t>
    </r>
    <r>
      <rPr>
        <b/>
        <vertAlign val="superscript"/>
        <sz val="12"/>
        <color theme="4"/>
        <rFont val="Calibri"/>
        <family val="2"/>
        <scheme val="minor"/>
      </rPr>
      <t>8</t>
    </r>
  </si>
  <si>
    <t>Taxa de administração - Fundo (excluindo escrituração e gestão)</t>
  </si>
  <si>
    <t>Caixa do FII (inclui cotas de FIIs)</t>
  </si>
  <si>
    <t>** O passivo total atual do XP Log se divide nos principais saldos a seguir: R$ 85MM (Especulativo, Cajamar II), R$ 2,7MM Syslog RJ, R$ 1,6MM SBP e R$ 0,5MM Leroy (Cajamar I). Vale ressaltar que o preço remanescente do Syslog SP não está marcado em carteira em razão de condições precedentes a serem cumpridas pelo vendedor.</t>
  </si>
  <si>
    <r>
      <t xml:space="preserve">Syslog SP </t>
    </r>
    <r>
      <rPr>
        <b/>
        <vertAlign val="superscript"/>
        <sz val="11"/>
        <color theme="8"/>
        <rFont val="Calibri"/>
        <family val="2"/>
        <scheme val="minor"/>
      </rPr>
      <t>13</t>
    </r>
  </si>
  <si>
    <t>Distrito de Perus</t>
  </si>
  <si>
    <r>
      <t>3T21</t>
    </r>
    <r>
      <rPr>
        <b/>
        <vertAlign val="superscript"/>
        <sz val="11"/>
        <color theme="4"/>
        <rFont val="Calibri"/>
        <family val="2"/>
        <scheme val="minor"/>
      </rPr>
      <t xml:space="preserve"> 13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</si>
</sst>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#,##0;\(#,##0\);\-"/>
    <numFmt numFmtId="165" formatCode="[$-416]mmm\-yy;@"/>
    <numFmt numFmtId="166" formatCode="#,##0.00;\(#,##0.00\);\-"/>
    <numFmt numFmtId="167" formatCode="#,##0&quot; m²&quot;"/>
    <numFmt numFmtId="168" formatCode="_-* #,##0_-;\-* #,##0_-;_-* &quot;-&quot;??_-;_-@_-"/>
    <numFmt numFmtId="169" formatCode="0.0%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vertAlign val="superscript"/>
      <sz val="12"/>
      <color theme="4"/>
      <name val="Calibri"/>
      <family val="2"/>
      <scheme val="minor"/>
    </font>
    <font>
      <b/>
      <vertAlign val="superscript"/>
      <sz val="11"/>
      <color theme="8"/>
      <name val="Calibri"/>
      <family val="2"/>
      <scheme val="minor"/>
    </font>
    <font>
      <b/>
      <vertAlign val="superscript"/>
      <sz val="11"/>
      <color theme="4"/>
      <name val="Calibri"/>
      <family val="2"/>
      <scheme val="minor"/>
    </font>
    <font>
      <vertAlign val="superscript"/>
      <sz val="11"/>
      <color theme="4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</cellStyleXfs>
  <cellXfs count="76">
    <xf numFmtId="0" fontId="0" fillId="0" borderId="0" xfId="0"/>
    <xf numFmtId="0" fontId="1" fillId="0" borderId="0" xfId="0" applyFont="1"/>
    <xf numFmtId="0" fontId="4" fillId="0" borderId="0" xfId="0" applyFont="1"/>
    <xf numFmtId="0" fontId="3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164" fontId="0" fillId="0" borderId="2" xfId="0" applyNumberFormat="1" applyFont="1" applyBorder="1" applyAlignment="1">
      <alignment horizontal="center" vertical="center"/>
    </xf>
    <xf numFmtId="0" fontId="0" fillId="0" borderId="3" xfId="0" applyFont="1" applyBorder="1" applyAlignment="1">
      <alignment horizontal="left" vertical="center" indent="1"/>
    </xf>
    <xf numFmtId="0" fontId="0" fillId="0" borderId="3" xfId="0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164" fontId="0" fillId="0" borderId="7" xfId="0" applyNumberFormat="1" applyFont="1" applyBorder="1" applyAlignment="1">
      <alignment horizontal="center" vertical="center"/>
    </xf>
    <xf numFmtId="164" fontId="0" fillId="0" borderId="6" xfId="0" applyNumberFormat="1" applyFont="1" applyBorder="1" applyAlignment="1">
      <alignment horizontal="center" vertical="center"/>
    </xf>
    <xf numFmtId="164" fontId="0" fillId="0" borderId="8" xfId="0" applyNumberFormat="1" applyFont="1" applyBorder="1" applyAlignment="1">
      <alignment horizontal="center" vertical="center"/>
    </xf>
    <xf numFmtId="164" fontId="1" fillId="0" borderId="7" xfId="0" applyNumberFormat="1" applyFont="1" applyBorder="1" applyAlignment="1">
      <alignment horizontal="left" vertical="center"/>
    </xf>
    <xf numFmtId="164" fontId="0" fillId="0" borderId="6" xfId="0" applyNumberFormat="1" applyFont="1" applyBorder="1" applyAlignment="1">
      <alignment horizontal="left" vertical="center" indent="2"/>
    </xf>
    <xf numFmtId="164" fontId="0" fillId="0" borderId="2" xfId="0" applyNumberFormat="1" applyFont="1" applyBorder="1" applyAlignment="1">
      <alignment horizontal="left" vertical="center" indent="2"/>
    </xf>
    <xf numFmtId="0" fontId="0" fillId="0" borderId="7" xfId="0" applyFont="1" applyBorder="1" applyAlignment="1">
      <alignment horizontal="left" vertical="center"/>
    </xf>
    <xf numFmtId="164" fontId="1" fillId="0" borderId="8" xfId="0" applyNumberFormat="1" applyFont="1" applyBorder="1" applyAlignment="1">
      <alignment horizontal="center" vertical="center"/>
    </xf>
    <xf numFmtId="164" fontId="1" fillId="0" borderId="7" xfId="0" applyNumberFormat="1" applyFont="1" applyBorder="1" applyAlignment="1">
      <alignment horizontal="center" vertical="center"/>
    </xf>
    <xf numFmtId="3" fontId="1" fillId="0" borderId="7" xfId="0" applyNumberFormat="1" applyFont="1" applyBorder="1" applyAlignment="1">
      <alignment horizontal="center" vertical="center"/>
    </xf>
    <xf numFmtId="164" fontId="1" fillId="0" borderId="8" xfId="0" applyNumberFormat="1" applyFont="1" applyBorder="1" applyAlignment="1">
      <alignment horizontal="left" vertical="center"/>
    </xf>
    <xf numFmtId="166" fontId="0" fillId="0" borderId="6" xfId="0" applyNumberFormat="1" applyFont="1" applyBorder="1" applyAlignment="1">
      <alignment horizontal="center" vertical="center"/>
    </xf>
    <xf numFmtId="166" fontId="0" fillId="0" borderId="2" xfId="0" applyNumberFormat="1" applyFont="1" applyBorder="1" applyAlignment="1">
      <alignment horizontal="center" vertical="center"/>
    </xf>
    <xf numFmtId="10" fontId="0" fillId="0" borderId="2" xfId="0" applyNumberFormat="1" applyFont="1" applyBorder="1" applyAlignment="1">
      <alignment horizontal="center" vertical="center"/>
    </xf>
    <xf numFmtId="4" fontId="0" fillId="0" borderId="2" xfId="0" applyNumberFormat="1" applyFont="1" applyBorder="1" applyAlignment="1">
      <alignment horizontal="center" vertical="center"/>
    </xf>
    <xf numFmtId="4" fontId="0" fillId="0" borderId="6" xfId="0" applyNumberFormat="1" applyFont="1" applyBorder="1" applyAlignment="1">
      <alignment horizontal="center" vertical="center"/>
    </xf>
    <xf numFmtId="3" fontId="0" fillId="0" borderId="6" xfId="0" applyNumberFormat="1" applyFont="1" applyBorder="1" applyAlignment="1">
      <alignment horizontal="center" vertical="center"/>
    </xf>
    <xf numFmtId="3" fontId="0" fillId="0" borderId="2" xfId="0" applyNumberFormat="1" applyFont="1" applyBorder="1" applyAlignment="1">
      <alignment horizontal="center" vertical="center"/>
    </xf>
    <xf numFmtId="10" fontId="1" fillId="0" borderId="7" xfId="0" applyNumberFormat="1" applyFont="1" applyBorder="1" applyAlignment="1">
      <alignment horizontal="center" vertical="center"/>
    </xf>
    <xf numFmtId="10" fontId="1" fillId="0" borderId="8" xfId="0" applyNumberFormat="1" applyFont="1" applyBorder="1" applyAlignment="1">
      <alignment horizontal="center" vertical="center"/>
    </xf>
    <xf numFmtId="10" fontId="0" fillId="0" borderId="6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5" fontId="0" fillId="0" borderId="3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Fill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164" fontId="1" fillId="0" borderId="2" xfId="0" applyNumberFormat="1" applyFont="1" applyBorder="1" applyAlignment="1">
      <alignment horizontal="left" vertical="center" indent="2"/>
    </xf>
    <xf numFmtId="4" fontId="1" fillId="0" borderId="2" xfId="0" applyNumberFormat="1" applyFont="1" applyBorder="1" applyAlignment="1">
      <alignment horizontal="center" vertical="center"/>
    </xf>
    <xf numFmtId="168" fontId="1" fillId="0" borderId="2" xfId="1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 wrapText="1"/>
    </xf>
    <xf numFmtId="164" fontId="1" fillId="0" borderId="6" xfId="0" applyNumberFormat="1" applyFont="1" applyBorder="1" applyAlignment="1">
      <alignment horizontal="left" vertical="center" indent="2"/>
    </xf>
    <xf numFmtId="0" fontId="0" fillId="0" borderId="0" xfId="0" applyFont="1" applyFill="1" applyAlignment="1">
      <alignment horizontal="center" vertical="center"/>
    </xf>
    <xf numFmtId="4" fontId="0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3" borderId="3" xfId="0" applyFont="1" applyFill="1" applyBorder="1" applyAlignment="1">
      <alignment horizontal="left" vertical="center" indent="1"/>
    </xf>
    <xf numFmtId="0" fontId="1" fillId="3" borderId="3" xfId="0" applyFont="1" applyFill="1" applyBorder="1" applyAlignment="1">
      <alignment horizontal="center" vertical="center"/>
    </xf>
    <xf numFmtId="167" fontId="1" fillId="3" borderId="3" xfId="0" applyNumberFormat="1" applyFont="1" applyFill="1" applyBorder="1" applyAlignment="1">
      <alignment horizontal="center" vertical="center"/>
    </xf>
    <xf numFmtId="15" fontId="1" fillId="3" borderId="3" xfId="0" applyNumberFormat="1" applyFont="1" applyFill="1" applyBorder="1" applyAlignment="1">
      <alignment horizontal="center" vertical="center"/>
    </xf>
    <xf numFmtId="169" fontId="0" fillId="0" borderId="3" xfId="3" applyNumberFormat="1" applyFont="1" applyBorder="1" applyAlignment="1">
      <alignment horizontal="center" vertical="center"/>
    </xf>
    <xf numFmtId="169" fontId="1" fillId="3" borderId="3" xfId="3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/>
    <xf numFmtId="0" fontId="1" fillId="0" borderId="0" xfId="0" applyFont="1" applyAlignment="1"/>
    <xf numFmtId="15" fontId="0" fillId="0" borderId="3" xfId="0" quotePrefix="1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 indent="1"/>
    </xf>
    <xf numFmtId="0" fontId="0" fillId="0" borderId="0" xfId="0" applyFont="1" applyAlignment="1">
      <alignment horizontal="left" vertical="center" wrapText="1"/>
    </xf>
    <xf numFmtId="0" fontId="0" fillId="0" borderId="5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left" vertical="center" indent="1"/>
    </xf>
    <xf numFmtId="0" fontId="2" fillId="4" borderId="0" xfId="0" applyFont="1" applyFill="1" applyBorder="1" applyAlignment="1">
      <alignment horizontal="center" vertical="center"/>
    </xf>
    <xf numFmtId="167" fontId="2" fillId="4" borderId="0" xfId="0" applyNumberFormat="1" applyFont="1" applyFill="1" applyBorder="1" applyAlignment="1">
      <alignment horizontal="center" vertical="center"/>
    </xf>
    <xf numFmtId="15" fontId="2" fillId="4" borderId="0" xfId="0" applyNumberFormat="1" applyFont="1" applyFill="1" applyBorder="1" applyAlignment="1">
      <alignment horizontal="center" vertical="center"/>
    </xf>
    <xf numFmtId="169" fontId="2" fillId="4" borderId="0" xfId="3" applyNumberFormat="1" applyFont="1" applyFill="1" applyBorder="1" applyAlignment="1">
      <alignment horizontal="center" vertical="center"/>
    </xf>
  </cellXfs>
  <cellStyles count="4">
    <cellStyle name="Normal" xfId="0" builtinId="0"/>
    <cellStyle name="Normal 2" xfId="2"/>
    <cellStyle name="Porcentagem" xfId="3" builtinId="5"/>
    <cellStyle name="Vírgula" xfId="1" builtinId="3"/>
  </cellStyles>
  <dxfs count="0"/>
  <tableStyles count="0" defaultTableStyle="TableStyleMedium2" defaultPivotStyle="PivotStyleLight16"/>
  <colors>
    <mruColors>
      <color rgb="FF4498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21167</xdr:colOff>
      <xdr:row>0</xdr:row>
      <xdr:rowOff>148166</xdr:rowOff>
    </xdr:from>
    <xdr:to>
      <xdr:col>7</xdr:col>
      <xdr:colOff>244738</xdr:colOff>
      <xdr:row>3</xdr:row>
      <xdr:rowOff>176741</xdr:rowOff>
    </xdr:to>
    <xdr:pic>
      <xdr:nvPicPr>
        <xdr:cNvPr id="3" name="Imagem 8">
          <a:extLst>
            <a:ext uri="{FF2B5EF4-FFF2-40B4-BE49-F238E27FC236}">
              <a16:creationId xmlns:a16="http://schemas.microsoft.com/office/drawing/2014/main" id="{EBC1A738-A625-4E90-B9F1-8D2E9E4C0B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148166"/>
          <a:ext cx="391715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178595</xdr:colOff>
      <xdr:row>0</xdr:row>
      <xdr:rowOff>130969</xdr:rowOff>
    </xdr:from>
    <xdr:to>
      <xdr:col>4</xdr:col>
      <xdr:colOff>0</xdr:colOff>
      <xdr:row>1</xdr:row>
      <xdr:rowOff>16669</xdr:rowOff>
    </xdr:to>
    <xdr:pic>
      <xdr:nvPicPr>
        <xdr:cNvPr id="2" name="Imagem 8">
          <a:extLst>
            <a:ext uri="{FF2B5EF4-FFF2-40B4-BE49-F238E27FC236}">
              <a16:creationId xmlns:a16="http://schemas.microsoft.com/office/drawing/2014/main" id="{E339C5B9-887E-4589-AF66-20DC1E78712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5" y="130969"/>
          <a:ext cx="391715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112059</xdr:colOff>
      <xdr:row>43</xdr:row>
      <xdr:rowOff>145677</xdr:rowOff>
    </xdr:from>
    <xdr:to>
      <xdr:col>1</xdr:col>
      <xdr:colOff>134471</xdr:colOff>
      <xdr:row>44</xdr:row>
      <xdr:rowOff>0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D4E71992-E928-4B98-8169-0D7A4BF9D368}"/>
            </a:ext>
          </a:extLst>
        </xdr:cNvPr>
        <xdr:cNvSpPr txBox="1"/>
      </xdr:nvSpPr>
      <xdr:spPr>
        <a:xfrm>
          <a:off x="112059" y="9870702"/>
          <a:ext cx="231962" cy="444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700"/>
            <a:t>1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5</xdr:col>
      <xdr:colOff>1787277</xdr:colOff>
      <xdr:row>59</xdr:row>
      <xdr:rowOff>59784</xdr:rowOff>
    </xdr:to>
    <xdr:sp macro="" textlink="">
      <xdr:nvSpPr>
        <xdr:cNvPr id="6" name="CaixaDeTexto 19">
          <a:extLst>
            <a:ext uri="{FF2B5EF4-FFF2-40B4-BE49-F238E27FC236}">
              <a16:creationId xmlns:a16="http://schemas.microsoft.com/office/drawing/2014/main" id="{625E5F83-C774-4382-B69B-216262C5823E}"/>
            </a:ext>
          </a:extLst>
        </xdr:cNvPr>
        <xdr:cNvSpPr txBox="1"/>
      </xdr:nvSpPr>
      <xdr:spPr>
        <a:xfrm>
          <a:off x="209550" y="10325100"/>
          <a:ext cx="6625977" cy="2460084"/>
        </a:xfrm>
        <a:prstGeom prst="rect">
          <a:avLst/>
        </a:prstGeom>
        <a:noFill/>
        <a:ln>
          <a:noFill/>
        </a:ln>
        <a:effectLst/>
      </xdr:spPr>
      <xdr:txBody>
        <a:bodyPr wrap="square" lIns="0" tIns="0" rIns="0" bIns="0" rtlCol="0" anchor="t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pt-BR" sz="600" baseline="30000">
              <a:latin typeface="Roboto Slab"/>
              <a:ea typeface="Roboto Slab" pitchFamily="2" charset="0"/>
            </a:rPr>
            <a:t>1</a:t>
          </a:r>
          <a:r>
            <a:rPr lang="pt-BR" sz="600">
              <a:latin typeface="Roboto Slab"/>
              <a:ea typeface="Roboto Slab" pitchFamily="2" charset="0"/>
            </a:rPr>
            <a:t> Ativo em construção. As quatro tranches liberadas totalizam R$ 311 milhões cuja receita de prêmio de locação é calculada ao Cap de 9,35% a.a..</a:t>
          </a:r>
        </a:p>
        <a:p>
          <a:pPr algn="just"/>
          <a:endParaRPr lang="pt-BR" sz="600">
            <a:latin typeface="Roboto Slab"/>
            <a:ea typeface="Roboto Slab" pitchFamily="2" charset="0"/>
          </a:endParaRPr>
        </a:p>
        <a:p>
          <a:pPr algn="just"/>
          <a:r>
            <a:rPr lang="pt-BR" sz="600" baseline="30000">
              <a:latin typeface="Roboto Slab"/>
              <a:ea typeface="Roboto Slab" pitchFamily="2" charset="0"/>
            </a:rPr>
            <a:t>2 </a:t>
          </a:r>
          <a:r>
            <a:rPr lang="pt-BR" sz="600">
              <a:latin typeface="Roboto Slab"/>
              <a:ea typeface="Roboto Slab" pitchFamily="2" charset="0"/>
            </a:rPr>
            <a:t>A data de vencimento foi calculado com base no prazo de 12 meses contados a partir da data prevista de conclusão de obras.</a:t>
          </a:r>
        </a:p>
        <a:p>
          <a:pPr algn="just"/>
          <a:endParaRPr lang="pt-BR" sz="600">
            <a:latin typeface="Roboto Slab"/>
            <a:ea typeface="Roboto Slab" pitchFamily="2" charset="0"/>
          </a:endParaRPr>
        </a:p>
        <a:p>
          <a:pPr algn="just"/>
          <a:r>
            <a:rPr lang="pt-BR" sz="600">
              <a:latin typeface="Roboto Slab"/>
              <a:ea typeface="Roboto Slab" pitchFamily="2" charset="0"/>
            </a:rPr>
            <a:t>³ Obras finalizadas, </a:t>
          </a:r>
          <a:r>
            <a:rPr lang="pt-BR" sz="600">
              <a:latin typeface="Roboto Slab"/>
            </a:rPr>
            <a:t>em processo de vistorias para ratificação do cumprimento de </a:t>
          </a:r>
          <a:r>
            <a:rPr lang="pt-BR" sz="600" i="1">
              <a:latin typeface="Roboto Slab"/>
            </a:rPr>
            <a:t>checklists</a:t>
          </a:r>
          <a:r>
            <a:rPr lang="pt-BR" sz="600">
              <a:latin typeface="Roboto Slab"/>
            </a:rPr>
            <a:t> finais. A Leroy já ocupa e paga a locação contratual.</a:t>
          </a:r>
          <a:endParaRPr lang="pt-BR" sz="600">
            <a:latin typeface="Roboto Slab"/>
            <a:ea typeface="Roboto Slab" pitchFamily="2" charset="0"/>
          </a:endParaRPr>
        </a:p>
        <a:p>
          <a:pPr algn="just"/>
          <a:endParaRPr lang="pt-BR" sz="600" baseline="30000">
            <a:latin typeface="Roboto Slab"/>
            <a:ea typeface="Roboto Slab" pitchFamily="2" charset="0"/>
          </a:endParaRPr>
        </a:p>
        <a:p>
          <a:pPr algn="just"/>
          <a:r>
            <a:rPr lang="pt-BR" sz="600" baseline="30000">
              <a:latin typeface="Roboto Slab"/>
              <a:ea typeface="Roboto Slab" pitchFamily="2" charset="0"/>
            </a:rPr>
            <a:t>4</a:t>
          </a:r>
          <a:r>
            <a:rPr lang="pt-BR" sz="600">
              <a:latin typeface="Roboto Slab"/>
              <a:ea typeface="Roboto Slab" pitchFamily="2" charset="0"/>
            </a:rPr>
            <a:t> A data de vencimento foi calculado com base no prazo de 188 meses contados a partir de 01/07/2020. </a:t>
          </a:r>
        </a:p>
        <a:p>
          <a:pPr algn="just"/>
          <a:endParaRPr lang="pt-BR" sz="600" baseline="30000">
            <a:latin typeface="Roboto Slab"/>
            <a:ea typeface="Roboto Slab" pitchFamily="2" charset="0"/>
          </a:endParaRPr>
        </a:p>
        <a:p>
          <a:pPr algn="just"/>
          <a:r>
            <a:rPr lang="pt-BR" sz="600" baseline="30000">
              <a:latin typeface="Roboto Slab"/>
              <a:ea typeface="Roboto Slab" pitchFamily="2" charset="0"/>
            </a:rPr>
            <a:t>5</a:t>
          </a:r>
          <a:r>
            <a:rPr lang="pt-BR" sz="600">
              <a:latin typeface="Roboto Slab"/>
              <a:ea typeface="Roboto Slab" pitchFamily="2" charset="0"/>
            </a:rPr>
            <a:t> Contrato vigente, sem alteração na ocupação, e por prazo indeterminado.</a:t>
          </a:r>
        </a:p>
        <a:p>
          <a:pPr algn="just"/>
          <a:endParaRPr lang="pt-BR" sz="600" baseline="30000">
            <a:latin typeface="Roboto Slab"/>
            <a:ea typeface="Roboto Slab" pitchFamily="2" charset="0"/>
          </a:endParaRPr>
        </a:p>
        <a:p>
          <a:pPr algn="just"/>
          <a:r>
            <a:rPr lang="pt-BR" sz="600" baseline="30000">
              <a:latin typeface="Roboto Slab"/>
              <a:ea typeface="Roboto Slab" pitchFamily="2" charset="0"/>
            </a:rPr>
            <a:t>6</a:t>
          </a:r>
          <a:r>
            <a:rPr lang="pt-BR" sz="600">
              <a:latin typeface="Roboto Slab"/>
              <a:ea typeface="Roboto Slab" pitchFamily="2" charset="0"/>
            </a:rPr>
            <a:t> Área vaga mas conforme Fato Relevante publicado no dia 03 de agosto de 2020 o fundo faz jus a Prêmio de Locação. </a:t>
          </a:r>
        </a:p>
        <a:p>
          <a:pPr algn="just"/>
          <a:endParaRPr lang="pt-BR" sz="600" baseline="30000">
            <a:latin typeface="Roboto Slab"/>
          </a:endParaRPr>
        </a:p>
        <a:p>
          <a:pPr algn="just"/>
          <a:r>
            <a:rPr lang="pt-BR" sz="600" baseline="30000">
              <a:latin typeface="Roboto Slab"/>
            </a:rPr>
            <a:t>7 </a:t>
          </a:r>
          <a:r>
            <a:rPr lang="pt-BR" sz="600">
              <a:latin typeface="Roboto Slab"/>
            </a:rPr>
            <a:t>A multa rescisória corresponderá ao resultado da multiplicação dos meses remanescentes, limitado a 120 meses, até o vencimento do contrato pelo aluguel vigente à época da rescisão.</a:t>
          </a:r>
        </a:p>
        <a:p>
          <a:pPr algn="just"/>
          <a:endParaRPr lang="pt-BR" sz="600">
            <a:latin typeface="Roboto Slab"/>
          </a:endParaRPr>
        </a:p>
        <a:p>
          <a:pPr algn="just"/>
          <a:r>
            <a:rPr lang="pt-BR" sz="600" baseline="30000">
              <a:latin typeface="Roboto Slab"/>
            </a:rPr>
            <a:t>8 </a:t>
          </a:r>
          <a:r>
            <a:rPr lang="pt-BR" sz="600">
              <a:latin typeface="Roboto Slab"/>
            </a:rPr>
            <a:t>A multa rescisória corresponderá ao resultado da multiplicação dos meses remanescentes, limitado a 216 meses, até o vencimento do contrato pelo aluguel vigente à época da rescisão. </a:t>
          </a:r>
        </a:p>
        <a:p>
          <a:pPr algn="just"/>
          <a:endParaRPr lang="pt-BR" sz="600" baseline="30000">
            <a:latin typeface="Roboto Slab"/>
          </a:endParaRPr>
        </a:p>
        <a:p>
          <a:pPr algn="just"/>
          <a:r>
            <a:rPr lang="pt-BR" sz="600" baseline="30000">
              <a:latin typeface="Roboto Slab"/>
            </a:rPr>
            <a:t>9 </a:t>
          </a:r>
          <a:r>
            <a:rPr lang="pt-BR" sz="600">
              <a:latin typeface="Roboto Slab"/>
            </a:rPr>
            <a:t>A multa rescisória corresponderá ao resultado da multiplicação dos meses remanescentes até o vencimento do contrato pelo aluguel vigente à época da rescisão.</a:t>
          </a:r>
        </a:p>
        <a:p>
          <a:pPr algn="just"/>
          <a:endParaRPr lang="pt-BR" sz="600" baseline="30000">
            <a:latin typeface="Roboto Slab"/>
          </a:endParaRPr>
        </a:p>
        <a:p>
          <a:pPr algn="just"/>
          <a:r>
            <a:rPr lang="pt-BR" sz="600" baseline="30000">
              <a:latin typeface="Roboto Slab"/>
            </a:rPr>
            <a:t>10 </a:t>
          </a:r>
          <a:r>
            <a:rPr lang="pt-BR" sz="600">
              <a:latin typeface="Roboto Slab"/>
            </a:rPr>
            <a:t>A multa rescisória corresponderá ao resultado da multiplicação dos meses remanescentes pelo aluguel vigente à época da rescisão vezes 50%.</a:t>
          </a:r>
        </a:p>
        <a:p>
          <a:pPr algn="just"/>
          <a:endParaRPr lang="pt-BR" sz="600" baseline="30000">
            <a:latin typeface="Roboto Slab"/>
          </a:endParaRPr>
        </a:p>
        <a:p>
          <a:pPr algn="just"/>
          <a:r>
            <a:rPr lang="pt-BR" sz="600" baseline="30000">
              <a:latin typeface="Roboto Slab"/>
            </a:rPr>
            <a:t>11 </a:t>
          </a:r>
          <a:r>
            <a:rPr lang="pt-BR" sz="600">
              <a:latin typeface="Roboto Slab"/>
            </a:rPr>
            <a:t>A multa rescisória corresponderá ao resultado da multiplicação do número de meses remanescentes até completar 10 anos, contados a partir do início da locação, vezes o aluguel vigente. Após esse período de 10 anos, a multa será o equivalente a 3 aluguéis vigentes à época.</a:t>
          </a:r>
        </a:p>
        <a:p>
          <a:pPr algn="just"/>
          <a:endParaRPr lang="pt-BR" sz="600">
            <a:latin typeface="Roboto Slab"/>
          </a:endParaRPr>
        </a:p>
        <a:p>
          <a:pPr algn="just"/>
          <a:r>
            <a:rPr lang="pt-BR" sz="600" baseline="30000">
              <a:latin typeface="Roboto Slab"/>
            </a:rPr>
            <a:t>12 </a:t>
          </a:r>
          <a:r>
            <a:rPr lang="pt-BR" sz="600">
              <a:latin typeface="Roboto Slab"/>
            </a:rPr>
            <a:t>A multa rescisória corresponderá ao resultado da multiplicação do número de meses remanescentes até completar 10 anos, contados a partir do início da locação, vezes o aluguel vigente. Após esse período de 10 anos, a multa será o equivalente a 3 aluguéis vigentes à época.</a:t>
          </a:r>
        </a:p>
        <a:p>
          <a:pPr algn="just"/>
          <a:endParaRPr lang="pt-BR" sz="600">
            <a:latin typeface="Roboto Slab"/>
          </a:endParaRPr>
        </a:p>
        <a:p>
          <a:pPr algn="just"/>
          <a:r>
            <a:rPr lang="pt-BR" sz="600" baseline="30000">
              <a:latin typeface="Roboto Slab"/>
            </a:rPr>
            <a:t>13 </a:t>
          </a:r>
          <a:r>
            <a:rPr lang="pt-BR" sz="600">
              <a:latin typeface="Roboto Slab"/>
            </a:rPr>
            <a:t>Imóvel em obra, com previsão de conclusão e aceite de obra no terceiro trimestre de 2021. Conforme Fato Relevante publicado em 04/03/2021, o Fundo conta com prêmio de locação, e desembolsará o remanescente do preço de aquisição conforme evolução de obras, e também após a conclusão de algumas condições precedentes previstas no Contrato de Compra e Venda. </a:t>
          </a:r>
        </a:p>
        <a:p>
          <a:pPr algn="just"/>
          <a:endParaRPr lang="pt-BR" sz="600">
            <a:latin typeface="Roboto Slab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165651</xdr:colOff>
      <xdr:row>0</xdr:row>
      <xdr:rowOff>0</xdr:rowOff>
    </xdr:from>
    <xdr:to>
      <xdr:col>7</xdr:col>
      <xdr:colOff>621195</xdr:colOff>
      <xdr:row>0</xdr:row>
      <xdr:rowOff>0</xdr:rowOff>
    </xdr:to>
    <xdr:pic>
      <xdr:nvPicPr>
        <xdr:cNvPr id="22" name="Imagem 8">
          <a:extLst>
            <a:ext uri="{FF2B5EF4-FFF2-40B4-BE49-F238E27FC236}">
              <a16:creationId xmlns:a16="http://schemas.microsoft.com/office/drawing/2014/main" id="{DC99BF67-2C84-48C3-AE08-930215DEAA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51" y="124238"/>
          <a:ext cx="395080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16565</xdr:colOff>
      <xdr:row>3</xdr:row>
      <xdr:rowOff>24848</xdr:rowOff>
    </xdr:from>
    <xdr:to>
      <xdr:col>3</xdr:col>
      <xdr:colOff>451061</xdr:colOff>
      <xdr:row>10</xdr:row>
      <xdr:rowOff>165652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EF56243A-6507-4D49-8250-0F302CD47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40" y="81998"/>
          <a:ext cx="1810578" cy="1474304"/>
        </a:xfrm>
        <a:prstGeom prst="rect">
          <a:avLst/>
        </a:prstGeom>
      </xdr:spPr>
    </xdr:pic>
    <xdr:clientData/>
  </xdr:twoCellAnchor>
  <xdr:twoCellAnchor editAs="oneCell">
    <xdr:from>
      <xdr:col>17</xdr:col>
      <xdr:colOff>124656</xdr:colOff>
      <xdr:row>3</xdr:row>
      <xdr:rowOff>31060</xdr:rowOff>
    </xdr:from>
    <xdr:to>
      <xdr:col>19</xdr:col>
      <xdr:colOff>547629</xdr:colOff>
      <xdr:row>10</xdr:row>
      <xdr:rowOff>183459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C644D18F-3CE9-4174-887D-64B21C277E3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9531" y="88210"/>
          <a:ext cx="1803538" cy="1485899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0</xdr:colOff>
      <xdr:row>19</xdr:row>
      <xdr:rowOff>16566</xdr:rowOff>
    </xdr:from>
    <xdr:to>
      <xdr:col>3</xdr:col>
      <xdr:colOff>452758</xdr:colOff>
      <xdr:row>26</xdr:row>
      <xdr:rowOff>165653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B470940A-4715-465C-8D7E-8370A06B5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131241"/>
          <a:ext cx="1833322" cy="148258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19</xdr:row>
      <xdr:rowOff>8283</xdr:rowOff>
    </xdr:from>
    <xdr:to>
      <xdr:col>7</xdr:col>
      <xdr:colOff>434912</xdr:colOff>
      <xdr:row>26</xdr:row>
      <xdr:rowOff>166538</xdr:rowOff>
    </xdr:to>
    <xdr:pic>
      <xdr:nvPicPr>
        <xdr:cNvPr id="40" name="Picture 29">
          <a:extLst>
            <a:ext uri="{FF2B5EF4-FFF2-40B4-BE49-F238E27FC236}">
              <a16:creationId xmlns:a16="http://schemas.microsoft.com/office/drawing/2014/main" id="{FB5E137E-E6C1-429A-8934-37E70AFB4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81225" y="3122958"/>
          <a:ext cx="1810993" cy="1491755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</xdr:colOff>
      <xdr:row>19</xdr:row>
      <xdr:rowOff>16566</xdr:rowOff>
    </xdr:from>
    <xdr:to>
      <xdr:col>11</xdr:col>
      <xdr:colOff>417931</xdr:colOff>
      <xdr:row>26</xdr:row>
      <xdr:rowOff>180974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5A7FC96B-7544-477F-84C6-A6F9B7D1EA93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4" y="3131241"/>
          <a:ext cx="1774964" cy="1497908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28575</xdr:colOff>
      <xdr:row>35</xdr:row>
      <xdr:rowOff>28575</xdr:rowOff>
    </xdr:from>
    <xdr:ext cx="1814614" cy="1491755"/>
    <xdr:pic>
      <xdr:nvPicPr>
        <xdr:cNvPr id="42" name="Imagem 41">
          <a:extLst>
            <a:ext uri="{FF2B5EF4-FFF2-40B4-BE49-F238E27FC236}">
              <a16:creationId xmlns:a16="http://schemas.microsoft.com/office/drawing/2014/main" id="{FD01DF78-F510-4F4B-B277-6B78630A0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0" y="6200775"/>
          <a:ext cx="1814614" cy="1491755"/>
        </a:xfrm>
        <a:prstGeom prst="rect">
          <a:avLst/>
        </a:prstGeom>
      </xdr:spPr>
    </xdr:pic>
    <xdr:clientData/>
  </xdr:oneCellAnchor>
  <xdr:oneCellAnchor>
    <xdr:from>
      <xdr:col>16</xdr:col>
      <xdr:colOff>57150</xdr:colOff>
      <xdr:row>19</xdr:row>
      <xdr:rowOff>27333</xdr:rowOff>
    </xdr:from>
    <xdr:ext cx="1844270" cy="1488948"/>
    <xdr:pic>
      <xdr:nvPicPr>
        <xdr:cNvPr id="43" name="Imagem 42">
          <a:extLst>
            <a:ext uri="{FF2B5EF4-FFF2-40B4-BE49-F238E27FC236}">
              <a16:creationId xmlns:a16="http://schemas.microsoft.com/office/drawing/2014/main" id="{32F69332-4370-4407-AB08-F9CE4ECD1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3142008"/>
          <a:ext cx="1844270" cy="1488948"/>
        </a:xfrm>
        <a:prstGeom prst="rect">
          <a:avLst/>
        </a:prstGeom>
      </xdr:spPr>
    </xdr:pic>
    <xdr:clientData/>
  </xdr:oneCellAnchor>
  <xdr:twoCellAnchor editAs="oneCell">
    <xdr:from>
      <xdr:col>13</xdr:col>
      <xdr:colOff>28575</xdr:colOff>
      <xdr:row>19</xdr:row>
      <xdr:rowOff>19050</xdr:rowOff>
    </xdr:from>
    <xdr:to>
      <xdr:col>15</xdr:col>
      <xdr:colOff>464128</xdr:colOff>
      <xdr:row>26</xdr:row>
      <xdr:rowOff>156528</xdr:rowOff>
    </xdr:to>
    <xdr:pic>
      <xdr:nvPicPr>
        <xdr:cNvPr id="44" name="Picture 30">
          <a:extLst>
            <a:ext uri="{FF2B5EF4-FFF2-40B4-BE49-F238E27FC236}">
              <a16:creationId xmlns:a16="http://schemas.microsoft.com/office/drawing/2014/main" id="{1D69A82C-28B3-4212-A81C-190DDD520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438900" y="3133725"/>
          <a:ext cx="1816118" cy="147097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35</xdr:row>
      <xdr:rowOff>28575</xdr:rowOff>
    </xdr:from>
    <xdr:to>
      <xdr:col>7</xdr:col>
      <xdr:colOff>443392</xdr:colOff>
      <xdr:row>42</xdr:row>
      <xdr:rowOff>175177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8760389F-EE20-4630-AE01-3A54C99E133A}"/>
            </a:ext>
          </a:extLst>
        </xdr:cNvPr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81225" y="6200775"/>
          <a:ext cx="1819473" cy="1480102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35</xdr:row>
      <xdr:rowOff>28575</xdr:rowOff>
    </xdr:from>
    <xdr:to>
      <xdr:col>11</xdr:col>
      <xdr:colOff>427456</xdr:colOff>
      <xdr:row>42</xdr:row>
      <xdr:rowOff>164500</xdr:rowOff>
    </xdr:to>
    <xdr:pic>
      <xdr:nvPicPr>
        <xdr:cNvPr id="46" name="Picture 26">
          <a:extLst>
            <a:ext uri="{FF2B5EF4-FFF2-40B4-BE49-F238E27FC236}">
              <a16:creationId xmlns:a16="http://schemas.microsoft.com/office/drawing/2014/main" id="{036A9409-F50D-41F3-96F4-2C53B359A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314825" y="6200775"/>
          <a:ext cx="1784488" cy="1469425"/>
        </a:xfrm>
        <a:prstGeom prst="rect">
          <a:avLst/>
        </a:prstGeom>
      </xdr:spPr>
    </xdr:pic>
    <xdr:clientData/>
  </xdr:twoCellAnchor>
  <xdr:twoCellAnchor editAs="oneCell">
    <xdr:from>
      <xdr:col>9</xdr:col>
      <xdr:colOff>86236</xdr:colOff>
      <xdr:row>3</xdr:row>
      <xdr:rowOff>12649</xdr:rowOff>
    </xdr:from>
    <xdr:to>
      <xdr:col>11</xdr:col>
      <xdr:colOff>516251</xdr:colOff>
      <xdr:row>10</xdr:row>
      <xdr:rowOff>156882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901EE6A8-8C57-42CF-9987-BE2ADB998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6883" y="1715943"/>
          <a:ext cx="1797132" cy="1477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3</xdr:row>
      <xdr:rowOff>7762</xdr:rowOff>
    </xdr:from>
    <xdr:to>
      <xdr:col>7</xdr:col>
      <xdr:colOff>486337</xdr:colOff>
      <xdr:row>10</xdr:row>
      <xdr:rowOff>171450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2C0FF93-EB4B-4B21-B461-677762613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47900" y="64912"/>
          <a:ext cx="1800226" cy="1497188"/>
        </a:xfrm>
        <a:prstGeom prst="rect">
          <a:avLst/>
        </a:prstGeom>
      </xdr:spPr>
    </xdr:pic>
    <xdr:clientData/>
  </xdr:twoCellAnchor>
  <xdr:twoCellAnchor editAs="oneCell">
    <xdr:from>
      <xdr:col>10</xdr:col>
      <xdr:colOff>607280</xdr:colOff>
      <xdr:row>10</xdr:row>
      <xdr:rowOff>174860</xdr:rowOff>
    </xdr:from>
    <xdr:to>
      <xdr:col>11</xdr:col>
      <xdr:colOff>350185</xdr:colOff>
      <xdr:row>13</xdr:row>
      <xdr:rowOff>37958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EB97BAC6-3239-4E92-83E2-86465C2A6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588855" y="1565510"/>
          <a:ext cx="430946" cy="434598"/>
        </a:xfrm>
        <a:prstGeom prst="rect">
          <a:avLst/>
        </a:prstGeom>
      </xdr:spPr>
    </xdr:pic>
    <xdr:clientData/>
  </xdr:twoCellAnchor>
  <xdr:twoCellAnchor>
    <xdr:from>
      <xdr:col>13</xdr:col>
      <xdr:colOff>38101</xdr:colOff>
      <xdr:row>3</xdr:row>
      <xdr:rowOff>9525</xdr:rowOff>
    </xdr:from>
    <xdr:to>
      <xdr:col>15</xdr:col>
      <xdr:colOff>514351</xdr:colOff>
      <xdr:row>10</xdr:row>
      <xdr:rowOff>161925</xdr:rowOff>
    </xdr:to>
    <xdr:pic>
      <xdr:nvPicPr>
        <xdr:cNvPr id="50" name="Imagem 6" descr="image011">
          <a:extLst>
            <a:ext uri="{FF2B5EF4-FFF2-40B4-BE49-F238E27FC236}">
              <a16:creationId xmlns:a16="http://schemas.microsoft.com/office/drawing/2014/main" id="{7057C2C1-7D40-42C3-B52B-A7FB4B4CB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6" y="66675"/>
          <a:ext cx="18478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203386</xdr:colOff>
      <xdr:row>0</xdr:row>
      <xdr:rowOff>123265</xdr:rowOff>
    </xdr:from>
    <xdr:to>
      <xdr:col>7</xdr:col>
      <xdr:colOff>437167</xdr:colOff>
      <xdr:row>0</xdr:row>
      <xdr:rowOff>713815</xdr:rowOff>
    </xdr:to>
    <xdr:pic>
      <xdr:nvPicPr>
        <xdr:cNvPr id="51" name="Imagem 8">
          <a:extLst>
            <a:ext uri="{FF2B5EF4-FFF2-40B4-BE49-F238E27FC236}">
              <a16:creationId xmlns:a16="http://schemas.microsoft.com/office/drawing/2014/main" id="{8232877D-42DA-4C11-BE40-47D583A7EE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86" y="123265"/>
          <a:ext cx="3929481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1</xdr:col>
      <xdr:colOff>3644106</xdr:colOff>
      <xdr:row>1</xdr:row>
      <xdr:rowOff>0</xdr:rowOff>
    </xdr:to>
    <xdr:pic>
      <xdr:nvPicPr>
        <xdr:cNvPr id="4" name="Imagem 8">
          <a:extLst>
            <a:ext uri="{FF2B5EF4-FFF2-40B4-BE49-F238E27FC236}">
              <a16:creationId xmlns:a16="http://schemas.microsoft.com/office/drawing/2014/main" id="{9F55C76F-DA7F-4E9A-9A64-7E4D550773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4300"/>
          <a:ext cx="3672681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1323975</xdr:colOff>
      <xdr:row>47</xdr:row>
      <xdr:rowOff>161925</xdr:rowOff>
    </xdr:from>
    <xdr:to>
      <xdr:col>1</xdr:col>
      <xdr:colOff>1821392</xdr:colOff>
      <xdr:row>49</xdr:row>
      <xdr:rowOff>55033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EEFC36C9-C86C-4211-9942-445B62E11318}"/>
            </a:ext>
          </a:extLst>
        </xdr:cNvPr>
        <xdr:cNvSpPr txBox="1"/>
      </xdr:nvSpPr>
      <xdr:spPr>
        <a:xfrm>
          <a:off x="1533525" y="9877425"/>
          <a:ext cx="497417" cy="2931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(1)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H35"/>
  <sheetViews>
    <sheetView showGridLines="0" showRowColHeaders="0" tabSelected="1" zoomScaleNormal="100" workbookViewId="0"/>
  </sheetViews>
  <sheetFormatPr defaultRowHeight="15" x14ac:dyDescent="0.25"/>
  <cols>
    <col min="1" max="1" width="3" customWidth="1"/>
    <col min="2" max="5" width="9.140625" customWidth="1"/>
    <col min="7" max="8" width="9.28515625" customWidth="1"/>
  </cols>
  <sheetData>
    <row r="5" spans="2:6" ht="15.75" x14ac:dyDescent="0.25">
      <c r="B5" s="2" t="s">
        <v>97</v>
      </c>
    </row>
    <row r="7" spans="2:6" x14ac:dyDescent="0.25">
      <c r="B7" s="1" t="s">
        <v>3</v>
      </c>
      <c r="F7" t="s">
        <v>23</v>
      </c>
    </row>
    <row r="9" spans="2:6" x14ac:dyDescent="0.25">
      <c r="B9" s="1" t="s">
        <v>0</v>
      </c>
      <c r="F9" t="s">
        <v>24</v>
      </c>
    </row>
    <row r="11" spans="2:6" x14ac:dyDescent="0.25">
      <c r="B11" s="1" t="s">
        <v>2</v>
      </c>
      <c r="F11" t="s">
        <v>25</v>
      </c>
    </row>
    <row r="13" spans="2:6" x14ac:dyDescent="0.25">
      <c r="B13" s="1" t="s">
        <v>1</v>
      </c>
      <c r="F13" t="s">
        <v>25</v>
      </c>
    </row>
    <row r="15" spans="2:6" x14ac:dyDescent="0.25">
      <c r="B15" s="1" t="s">
        <v>4</v>
      </c>
      <c r="F15" t="s">
        <v>123</v>
      </c>
    </row>
    <row r="17" spans="2:8" x14ac:dyDescent="0.25">
      <c r="B17" s="1" t="s">
        <v>5</v>
      </c>
      <c r="F17" t="s">
        <v>26</v>
      </c>
    </row>
    <row r="19" spans="2:8" x14ac:dyDescent="0.25">
      <c r="B19" s="1" t="s">
        <v>6</v>
      </c>
      <c r="F19" t="s">
        <v>15</v>
      </c>
    </row>
    <row r="21" spans="2:8" x14ac:dyDescent="0.25">
      <c r="B21" s="1" t="s">
        <v>7</v>
      </c>
    </row>
    <row r="23" spans="2:8" ht="30.75" customHeight="1" x14ac:dyDescent="0.25">
      <c r="C23" s="67" t="s">
        <v>16</v>
      </c>
      <c r="D23" s="67"/>
      <c r="E23" s="67"/>
      <c r="F23" s="68" t="s">
        <v>7</v>
      </c>
      <c r="G23" s="68"/>
      <c r="H23" s="68"/>
    </row>
    <row r="24" spans="2:8" x14ac:dyDescent="0.25">
      <c r="C24" s="69" t="s">
        <v>17</v>
      </c>
      <c r="D24" s="69"/>
      <c r="E24" s="69"/>
      <c r="F24" s="69" t="s">
        <v>9</v>
      </c>
      <c r="G24" s="69"/>
      <c r="H24" s="69"/>
    </row>
    <row r="25" spans="2:8" x14ac:dyDescent="0.25">
      <c r="C25" s="66" t="s">
        <v>18</v>
      </c>
      <c r="D25" s="66"/>
      <c r="E25" s="66"/>
      <c r="F25" s="66" t="s">
        <v>10</v>
      </c>
      <c r="G25" s="66"/>
      <c r="H25" s="66"/>
    </row>
    <row r="26" spans="2:8" x14ac:dyDescent="0.25">
      <c r="C26" s="66" t="s">
        <v>19</v>
      </c>
      <c r="D26" s="66"/>
      <c r="E26" s="66"/>
      <c r="F26" s="66" t="s">
        <v>8</v>
      </c>
      <c r="G26" s="66"/>
      <c r="H26" s="66"/>
    </row>
    <row r="28" spans="2:8" x14ac:dyDescent="0.25">
      <c r="C28" t="s">
        <v>27</v>
      </c>
    </row>
    <row r="29" spans="2:8" x14ac:dyDescent="0.25">
      <c r="C29" t="s">
        <v>127</v>
      </c>
    </row>
    <row r="31" spans="2:8" x14ac:dyDescent="0.25">
      <c r="B31" s="1" t="s">
        <v>11</v>
      </c>
      <c r="F31" t="s">
        <v>12</v>
      </c>
    </row>
    <row r="33" spans="2:6" x14ac:dyDescent="0.25">
      <c r="B33" s="1" t="s">
        <v>20</v>
      </c>
      <c r="F33" t="s">
        <v>13</v>
      </c>
    </row>
    <row r="35" spans="2:6" x14ac:dyDescent="0.25">
      <c r="B35" s="1" t="s">
        <v>14</v>
      </c>
      <c r="F35" t="s">
        <v>28</v>
      </c>
    </row>
  </sheetData>
  <mergeCells count="8">
    <mergeCell ref="C26:E26"/>
    <mergeCell ref="F26:H26"/>
    <mergeCell ref="C23:E23"/>
    <mergeCell ref="F23:H23"/>
    <mergeCell ref="C24:E24"/>
    <mergeCell ref="F24:H24"/>
    <mergeCell ref="C25:E25"/>
    <mergeCell ref="F25:H2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showGridLines="0" showRowColHeaders="0" workbookViewId="0"/>
  </sheetViews>
  <sheetFormatPr defaultColWidth="9.140625" defaultRowHeight="15.75" customHeight="1" x14ac:dyDescent="0.25"/>
  <cols>
    <col min="1" max="1" width="3.140625" style="3" customWidth="1"/>
    <col min="2" max="2" width="26.85546875" style="11" customWidth="1"/>
    <col min="3" max="3" width="6.85546875" style="4" customWidth="1"/>
    <col min="4" max="4" width="24.5703125" style="4" bestFit="1" customWidth="1"/>
    <col min="5" max="5" width="14.28515625" style="4" customWidth="1"/>
    <col min="6" max="6" width="32.140625" style="4" bestFit="1" customWidth="1"/>
    <col min="7" max="10" width="14.28515625" style="4" customWidth="1"/>
    <col min="11" max="11" width="6.85546875" style="4" customWidth="1"/>
    <col min="12" max="16384" width="9.140625" style="4"/>
  </cols>
  <sheetData>
    <row r="1" spans="1:11" s="3" customFormat="1" ht="56.25" customHeight="1" x14ac:dyDescent="0.25">
      <c r="B1" s="4"/>
      <c r="C1" s="5">
        <v>1</v>
      </c>
      <c r="D1" s="5"/>
      <c r="E1" s="5"/>
    </row>
    <row r="2" spans="1:11" s="3" customFormat="1" ht="15.75" customHeight="1" x14ac:dyDescent="0.25">
      <c r="B2" s="2" t="s">
        <v>97</v>
      </c>
      <c r="C2" s="5"/>
      <c r="D2" s="5"/>
      <c r="E2" s="5"/>
    </row>
    <row r="3" spans="1:11" s="3" customFormat="1" ht="15.75" customHeight="1" x14ac:dyDescent="0.25">
      <c r="B3" s="4"/>
      <c r="C3" s="5"/>
      <c r="D3" s="5"/>
      <c r="E3" s="5"/>
    </row>
    <row r="4" spans="1:11" s="53" customFormat="1" ht="48" customHeight="1" x14ac:dyDescent="0.25">
      <c r="A4" s="52"/>
      <c r="B4" s="70" t="s">
        <v>116</v>
      </c>
      <c r="C4" s="70" t="s">
        <v>21</v>
      </c>
      <c r="D4" s="70" t="s">
        <v>99</v>
      </c>
      <c r="E4" s="70" t="s">
        <v>105</v>
      </c>
      <c r="F4" s="70" t="s">
        <v>171</v>
      </c>
      <c r="G4" s="70" t="s">
        <v>106</v>
      </c>
      <c r="H4" s="70" t="s">
        <v>187</v>
      </c>
      <c r="I4" s="70" t="s">
        <v>188</v>
      </c>
      <c r="J4" s="70" t="s">
        <v>109</v>
      </c>
      <c r="K4" s="70" t="s">
        <v>190</v>
      </c>
    </row>
    <row r="5" spans="1:11" ht="15.75" customHeight="1" x14ac:dyDescent="0.25">
      <c r="B5" s="9" t="s">
        <v>128</v>
      </c>
      <c r="C5" s="10" t="s">
        <v>22</v>
      </c>
      <c r="D5" s="10" t="s">
        <v>119</v>
      </c>
      <c r="E5" s="34">
        <v>125717</v>
      </c>
      <c r="F5" s="34" t="s">
        <v>186</v>
      </c>
      <c r="G5" s="42" t="s">
        <v>108</v>
      </c>
      <c r="H5" s="63" t="s">
        <v>260</v>
      </c>
      <c r="I5" s="35" t="s">
        <v>114</v>
      </c>
      <c r="J5" s="35" t="s">
        <v>261</v>
      </c>
      <c r="K5" s="58">
        <v>0.15664332116286692</v>
      </c>
    </row>
    <row r="6" spans="1:11" ht="15.75" customHeight="1" x14ac:dyDescent="0.25">
      <c r="B6" s="9" t="s">
        <v>277</v>
      </c>
      <c r="C6" s="10" t="s">
        <v>22</v>
      </c>
      <c r="D6" s="10" t="s">
        <v>278</v>
      </c>
      <c r="E6" s="34">
        <v>66377.59</v>
      </c>
      <c r="F6" s="34" t="s">
        <v>186</v>
      </c>
      <c r="G6" s="42" t="s">
        <v>108</v>
      </c>
      <c r="H6" s="63" t="s">
        <v>147</v>
      </c>
      <c r="I6" s="35" t="s">
        <v>150</v>
      </c>
      <c r="J6" s="35" t="s">
        <v>279</v>
      </c>
      <c r="K6" s="58">
        <v>8.2706445018470881E-2</v>
      </c>
    </row>
    <row r="7" spans="1:11" ht="15.75" customHeight="1" x14ac:dyDescent="0.25">
      <c r="B7" s="9" t="s">
        <v>118</v>
      </c>
      <c r="C7" s="10" t="s">
        <v>22</v>
      </c>
      <c r="D7" s="10" t="s">
        <v>119</v>
      </c>
      <c r="E7" s="34">
        <v>110208.97</v>
      </c>
      <c r="F7" s="34" t="s">
        <v>181</v>
      </c>
      <c r="G7" s="42" t="s">
        <v>107</v>
      </c>
      <c r="H7" s="63" t="s">
        <v>113</v>
      </c>
      <c r="I7" s="35" t="s">
        <v>114</v>
      </c>
      <c r="J7" s="35" t="s">
        <v>262</v>
      </c>
      <c r="K7" s="58">
        <v>0.13732032328753283</v>
      </c>
    </row>
    <row r="8" spans="1:11" ht="15.75" customHeight="1" x14ac:dyDescent="0.25">
      <c r="B8" s="9" t="s">
        <v>117</v>
      </c>
      <c r="C8" s="10" t="s">
        <v>22</v>
      </c>
      <c r="D8" s="10" t="s">
        <v>101</v>
      </c>
      <c r="E8" s="34">
        <v>30345</v>
      </c>
      <c r="F8" s="34" t="s">
        <v>180</v>
      </c>
      <c r="G8" s="34" t="s">
        <v>108</v>
      </c>
      <c r="H8" s="35" t="s">
        <v>111</v>
      </c>
      <c r="I8" s="35" t="s">
        <v>115</v>
      </c>
      <c r="J8" s="35">
        <v>47573</v>
      </c>
      <c r="K8" s="58">
        <v>3.780985531540839E-2</v>
      </c>
    </row>
    <row r="9" spans="1:11" ht="15.75" customHeight="1" x14ac:dyDescent="0.25">
      <c r="B9" s="9" t="s">
        <v>117</v>
      </c>
      <c r="C9" s="10" t="s">
        <v>22</v>
      </c>
      <c r="D9" s="10" t="s">
        <v>104</v>
      </c>
      <c r="E9" s="34">
        <v>21136</v>
      </c>
      <c r="F9" s="34" t="s">
        <v>180</v>
      </c>
      <c r="G9" s="34" t="s">
        <v>108</v>
      </c>
      <c r="H9" s="35" t="s">
        <v>113</v>
      </c>
      <c r="I9" s="35" t="s">
        <v>114</v>
      </c>
      <c r="J9" s="35">
        <v>48775</v>
      </c>
      <c r="K9" s="58">
        <v>2.633544577183957E-2</v>
      </c>
    </row>
    <row r="10" spans="1:11" ht="15.75" customHeight="1" x14ac:dyDescent="0.25">
      <c r="B10" s="9" t="s">
        <v>137</v>
      </c>
      <c r="C10" s="10" t="s">
        <v>22</v>
      </c>
      <c r="D10" s="10" t="s">
        <v>144</v>
      </c>
      <c r="E10" s="34">
        <v>15587.760000000002</v>
      </c>
      <c r="F10" s="34" t="s">
        <v>183</v>
      </c>
      <c r="G10" s="34" t="s">
        <v>108</v>
      </c>
      <c r="H10" s="35" t="s">
        <v>111</v>
      </c>
      <c r="I10" s="35" t="s">
        <v>150</v>
      </c>
      <c r="J10" s="35">
        <v>44804</v>
      </c>
      <c r="K10" s="58">
        <v>1.9422341416751043E-2</v>
      </c>
    </row>
    <row r="11" spans="1:11" ht="15.75" customHeight="1" x14ac:dyDescent="0.25">
      <c r="B11" s="9" t="s">
        <v>263</v>
      </c>
      <c r="C11" s="10" t="s">
        <v>22</v>
      </c>
      <c r="D11" s="10" t="s">
        <v>167</v>
      </c>
      <c r="E11" s="34">
        <v>14725.609999999999</v>
      </c>
      <c r="F11" s="34" t="s">
        <v>172</v>
      </c>
      <c r="G11" s="42" t="s">
        <v>107</v>
      </c>
      <c r="H11" s="35" t="s">
        <v>113</v>
      </c>
      <c r="I11" s="35" t="s">
        <v>114</v>
      </c>
      <c r="J11" s="35">
        <v>45861</v>
      </c>
      <c r="K11" s="58">
        <v>1.8348102933963779E-2</v>
      </c>
    </row>
    <row r="12" spans="1:11" ht="15.75" customHeight="1" x14ac:dyDescent="0.25">
      <c r="B12" s="9" t="s">
        <v>161</v>
      </c>
      <c r="C12" s="10" t="s">
        <v>22</v>
      </c>
      <c r="D12" s="10" t="s">
        <v>167</v>
      </c>
      <c r="E12" s="34">
        <v>10398.93</v>
      </c>
      <c r="F12" s="34" t="s">
        <v>175</v>
      </c>
      <c r="G12" s="34" t="s">
        <v>108</v>
      </c>
      <c r="H12" s="35" t="s">
        <v>146</v>
      </c>
      <c r="I12" s="35" t="s">
        <v>150</v>
      </c>
      <c r="J12" s="35">
        <v>44927</v>
      </c>
      <c r="K12" s="58">
        <v>1.2957061747736358E-2</v>
      </c>
    </row>
    <row r="13" spans="1:11" ht="15.75" customHeight="1" x14ac:dyDescent="0.25">
      <c r="B13" s="9" t="s">
        <v>160</v>
      </c>
      <c r="C13" s="10" t="s">
        <v>22</v>
      </c>
      <c r="D13" s="10" t="s">
        <v>167</v>
      </c>
      <c r="E13" s="34">
        <v>2266.9990200000002</v>
      </c>
      <c r="F13" s="34" t="s">
        <v>174</v>
      </c>
      <c r="G13" s="34" t="s">
        <v>108</v>
      </c>
      <c r="H13" s="35" t="s">
        <v>178</v>
      </c>
      <c r="I13" s="35" t="s">
        <v>114</v>
      </c>
      <c r="J13" s="35">
        <v>46600</v>
      </c>
      <c r="K13" s="58">
        <v>2.8246796818709053E-3</v>
      </c>
    </row>
    <row r="14" spans="1:11" ht="15.75" customHeight="1" x14ac:dyDescent="0.25">
      <c r="B14" s="9" t="s">
        <v>138</v>
      </c>
      <c r="C14" s="10" t="s">
        <v>22</v>
      </c>
      <c r="D14" s="10" t="s">
        <v>144</v>
      </c>
      <c r="E14" s="34">
        <v>1712.5439999999999</v>
      </c>
      <c r="F14" s="34" t="s">
        <v>183</v>
      </c>
      <c r="G14" s="34" t="s">
        <v>108</v>
      </c>
      <c r="H14" s="35" t="s">
        <v>149</v>
      </c>
      <c r="I14" s="35" t="s">
        <v>150</v>
      </c>
      <c r="J14" s="35" t="s">
        <v>240</v>
      </c>
      <c r="K14" s="58">
        <v>2.1338289952634944E-3</v>
      </c>
    </row>
    <row r="15" spans="1:11" ht="15.75" customHeight="1" x14ac:dyDescent="0.25">
      <c r="B15" s="9" t="s">
        <v>158</v>
      </c>
      <c r="C15" s="10" t="s">
        <v>22</v>
      </c>
      <c r="D15" s="10" t="s">
        <v>167</v>
      </c>
      <c r="E15" s="34">
        <v>1544.74</v>
      </c>
      <c r="F15" s="34" t="s">
        <v>173</v>
      </c>
      <c r="G15" s="34" t="s">
        <v>108</v>
      </c>
      <c r="H15" s="35" t="s">
        <v>122</v>
      </c>
      <c r="I15" s="35" t="s">
        <v>150</v>
      </c>
      <c r="J15" s="35">
        <v>45288</v>
      </c>
      <c r="K15" s="58">
        <v>1.9247452924674232E-3</v>
      </c>
    </row>
    <row r="16" spans="1:11" ht="15.75" customHeight="1" x14ac:dyDescent="0.25">
      <c r="B16" s="9" t="s">
        <v>264</v>
      </c>
      <c r="C16" s="10" t="s">
        <v>22</v>
      </c>
      <c r="D16" s="10" t="s">
        <v>167</v>
      </c>
      <c r="E16" s="34">
        <v>1544.74</v>
      </c>
      <c r="F16" s="34" t="s">
        <v>172</v>
      </c>
      <c r="G16" s="42" t="s">
        <v>107</v>
      </c>
      <c r="H16" s="35" t="s">
        <v>113</v>
      </c>
      <c r="I16" s="35" t="s">
        <v>114</v>
      </c>
      <c r="J16" s="35">
        <v>45861</v>
      </c>
      <c r="K16" s="58">
        <v>1.9247452924674232E-3</v>
      </c>
    </row>
    <row r="17" spans="1:11" ht="15.75" customHeight="1" x14ac:dyDescent="0.25">
      <c r="B17" s="9" t="s">
        <v>139</v>
      </c>
      <c r="C17" s="10" t="s">
        <v>22</v>
      </c>
      <c r="D17" s="10" t="s">
        <v>144</v>
      </c>
      <c r="E17" s="34">
        <v>1492.472</v>
      </c>
      <c r="F17" s="34" t="s">
        <v>183</v>
      </c>
      <c r="G17" s="34" t="s">
        <v>108</v>
      </c>
      <c r="H17" s="35" t="s">
        <v>111</v>
      </c>
      <c r="I17" s="35" t="s">
        <v>150</v>
      </c>
      <c r="J17" s="35">
        <v>45018</v>
      </c>
      <c r="K17" s="58">
        <v>1.8596193897610213E-3</v>
      </c>
    </row>
    <row r="18" spans="1:11" ht="15.75" customHeight="1" x14ac:dyDescent="0.25">
      <c r="B18" s="9" t="s">
        <v>159</v>
      </c>
      <c r="C18" s="10" t="s">
        <v>22</v>
      </c>
      <c r="D18" s="10" t="s">
        <v>167</v>
      </c>
      <c r="E18" s="34">
        <v>739.63098000000014</v>
      </c>
      <c r="F18" s="34" t="s">
        <v>174</v>
      </c>
      <c r="G18" s="34" t="s">
        <v>108</v>
      </c>
      <c r="H18" s="35" t="s">
        <v>178</v>
      </c>
      <c r="I18" s="35" t="s">
        <v>114</v>
      </c>
      <c r="J18" s="35">
        <v>46600</v>
      </c>
      <c r="K18" s="58">
        <v>9.2157984315682068E-4</v>
      </c>
    </row>
    <row r="19" spans="1:11" ht="15.75" customHeight="1" x14ac:dyDescent="0.25">
      <c r="B19" s="9" t="s">
        <v>140</v>
      </c>
      <c r="C19" s="10" t="s">
        <v>22</v>
      </c>
      <c r="D19" s="10" t="s">
        <v>144</v>
      </c>
      <c r="E19" s="34">
        <v>580.80000000000007</v>
      </c>
      <c r="F19" s="34" t="s">
        <v>180</v>
      </c>
      <c r="G19" s="34" t="s">
        <v>108</v>
      </c>
      <c r="H19" s="35" t="s">
        <v>145</v>
      </c>
      <c r="I19" s="35" t="s">
        <v>150</v>
      </c>
      <c r="J19" s="35">
        <v>45505</v>
      </c>
      <c r="K19" s="58">
        <v>7.2367651893851361E-4</v>
      </c>
    </row>
    <row r="20" spans="1:11" ht="15.75" customHeight="1" x14ac:dyDescent="0.25">
      <c r="B20" s="9" t="s">
        <v>265</v>
      </c>
      <c r="C20" s="10" t="s">
        <v>98</v>
      </c>
      <c r="D20" s="10" t="s">
        <v>100</v>
      </c>
      <c r="E20" s="34">
        <v>23454</v>
      </c>
      <c r="F20" s="34" t="s">
        <v>179</v>
      </c>
      <c r="G20" s="34" t="s">
        <v>107</v>
      </c>
      <c r="H20" s="35" t="s">
        <v>110</v>
      </c>
      <c r="I20" s="35" t="s">
        <v>114</v>
      </c>
      <c r="J20" s="35">
        <v>47208</v>
      </c>
      <c r="K20" s="58">
        <v>2.9223672650110014E-2</v>
      </c>
    </row>
    <row r="21" spans="1:11" ht="15.75" customHeight="1" x14ac:dyDescent="0.25">
      <c r="B21" s="9" t="s">
        <v>164</v>
      </c>
      <c r="C21" s="10" t="s">
        <v>168</v>
      </c>
      <c r="D21" s="10" t="s">
        <v>169</v>
      </c>
      <c r="E21" s="34">
        <v>6087.69</v>
      </c>
      <c r="F21" s="34" t="s">
        <v>173</v>
      </c>
      <c r="G21" s="34" t="s">
        <v>108</v>
      </c>
      <c r="H21" s="35" t="s">
        <v>148</v>
      </c>
      <c r="I21" s="35" t="s">
        <v>150</v>
      </c>
      <c r="J21" s="35">
        <v>45412</v>
      </c>
      <c r="K21" s="58">
        <v>7.5852587940371885E-3</v>
      </c>
    </row>
    <row r="22" spans="1:11" ht="15.75" customHeight="1" x14ac:dyDescent="0.25">
      <c r="B22" s="9" t="s">
        <v>163</v>
      </c>
      <c r="C22" s="10" t="s">
        <v>168</v>
      </c>
      <c r="D22" s="10" t="s">
        <v>169</v>
      </c>
      <c r="E22" s="34">
        <v>3000.43</v>
      </c>
      <c r="F22" s="34" t="s">
        <v>177</v>
      </c>
      <c r="G22" s="34" t="s">
        <v>108</v>
      </c>
      <c r="H22" s="35" t="s">
        <v>148</v>
      </c>
      <c r="I22" s="35" t="s">
        <v>150</v>
      </c>
      <c r="J22" s="35">
        <v>44331</v>
      </c>
      <c r="K22" s="58">
        <v>3.7385343280280374E-3</v>
      </c>
    </row>
    <row r="23" spans="1:11" ht="15.75" customHeight="1" x14ac:dyDescent="0.25">
      <c r="B23" s="9" t="s">
        <v>165</v>
      </c>
      <c r="C23" s="10" t="s">
        <v>168</v>
      </c>
      <c r="D23" s="10" t="s">
        <v>169</v>
      </c>
      <c r="E23" s="34">
        <v>1928.53</v>
      </c>
      <c r="F23" s="34" t="s">
        <v>173</v>
      </c>
      <c r="G23" s="34" t="s">
        <v>108</v>
      </c>
      <c r="H23" s="35" t="s">
        <v>122</v>
      </c>
      <c r="I23" s="35" t="s">
        <v>114</v>
      </c>
      <c r="J23" s="35" t="s">
        <v>266</v>
      </c>
      <c r="K23" s="58">
        <v>2.4029474467432703E-3</v>
      </c>
    </row>
    <row r="24" spans="1:11" ht="15.75" customHeight="1" x14ac:dyDescent="0.25">
      <c r="B24" s="9" t="s">
        <v>166</v>
      </c>
      <c r="C24" s="10" t="s">
        <v>168</v>
      </c>
      <c r="D24" s="10" t="s">
        <v>169</v>
      </c>
      <c r="E24" s="34">
        <v>1896.1</v>
      </c>
      <c r="F24" s="34" t="s">
        <v>173</v>
      </c>
      <c r="G24" s="34" t="s">
        <v>108</v>
      </c>
      <c r="H24" s="35" t="s">
        <v>110</v>
      </c>
      <c r="I24" s="35" t="s">
        <v>150</v>
      </c>
      <c r="J24" s="35">
        <v>44848</v>
      </c>
      <c r="K24" s="58">
        <v>2.3625396824368378E-3</v>
      </c>
    </row>
    <row r="25" spans="1:11" ht="15.75" customHeight="1" x14ac:dyDescent="0.25">
      <c r="B25" s="9" t="s">
        <v>162</v>
      </c>
      <c r="C25" s="10" t="s">
        <v>168</v>
      </c>
      <c r="D25" s="10" t="s">
        <v>169</v>
      </c>
      <c r="E25" s="34">
        <v>3781.14</v>
      </c>
      <c r="F25" s="34" t="s">
        <v>176</v>
      </c>
      <c r="G25" s="34" t="s">
        <v>108</v>
      </c>
      <c r="H25" s="35" t="s">
        <v>145</v>
      </c>
      <c r="I25" s="35" t="s">
        <v>150</v>
      </c>
      <c r="J25" s="35">
        <v>44453</v>
      </c>
      <c r="K25" s="58">
        <v>4.7112986102258456E-3</v>
      </c>
    </row>
    <row r="26" spans="1:11" ht="15.75" customHeight="1" x14ac:dyDescent="0.25">
      <c r="B26" s="9" t="s">
        <v>241</v>
      </c>
      <c r="C26" s="10" t="s">
        <v>168</v>
      </c>
      <c r="D26" s="10" t="s">
        <v>169</v>
      </c>
      <c r="E26" s="34">
        <v>2697.46</v>
      </c>
      <c r="F26" s="34" t="s">
        <v>173</v>
      </c>
      <c r="G26" s="34" t="s">
        <v>108</v>
      </c>
      <c r="H26" s="35" t="s">
        <v>112</v>
      </c>
      <c r="I26" s="35" t="s">
        <v>114</v>
      </c>
      <c r="J26" s="35">
        <v>45961</v>
      </c>
      <c r="K26" s="58">
        <v>3.3610338546416715E-3</v>
      </c>
    </row>
    <row r="27" spans="1:11" s="7" customFormat="1" ht="15.75" customHeight="1" x14ac:dyDescent="0.25">
      <c r="A27" s="6"/>
      <c r="B27" s="9" t="s">
        <v>267</v>
      </c>
      <c r="C27" s="10" t="s">
        <v>168</v>
      </c>
      <c r="D27" s="10" t="s">
        <v>169</v>
      </c>
      <c r="E27" s="34">
        <v>37642.17</v>
      </c>
      <c r="F27" s="34" t="s">
        <v>121</v>
      </c>
      <c r="G27" s="34" t="s">
        <v>121</v>
      </c>
      <c r="H27" s="34" t="s">
        <v>121</v>
      </c>
      <c r="I27" s="34" t="s">
        <v>121</v>
      </c>
      <c r="J27" s="34" t="s">
        <v>121</v>
      </c>
      <c r="K27" s="58">
        <v>4.6902125604152453E-2</v>
      </c>
    </row>
    <row r="28" spans="1:11" ht="15.75" customHeight="1" x14ac:dyDescent="0.25">
      <c r="B28" s="9" t="s">
        <v>142</v>
      </c>
      <c r="C28" s="10" t="s">
        <v>22</v>
      </c>
      <c r="D28" s="10" t="s">
        <v>144</v>
      </c>
      <c r="E28" s="34">
        <v>5280.6639999999998</v>
      </c>
      <c r="F28" s="34" t="s">
        <v>121</v>
      </c>
      <c r="G28" s="34" t="s">
        <v>121</v>
      </c>
      <c r="H28" s="34" t="s">
        <v>121</v>
      </c>
      <c r="I28" s="34" t="s">
        <v>121</v>
      </c>
      <c r="J28" s="34" t="s">
        <v>121</v>
      </c>
      <c r="K28" s="58">
        <v>6.5797047885742541E-3</v>
      </c>
    </row>
    <row r="29" spans="1:11" ht="15.75" customHeight="1" x14ac:dyDescent="0.25">
      <c r="B29" s="54" t="s">
        <v>189</v>
      </c>
      <c r="C29" s="55"/>
      <c r="D29" s="55"/>
      <c r="E29" s="56">
        <v>490146.97</v>
      </c>
      <c r="F29" s="56"/>
      <c r="G29" s="56"/>
      <c r="H29" s="57"/>
      <c r="I29" s="57"/>
      <c r="J29" s="57"/>
      <c r="K29" s="59">
        <v>0.61072288742744496</v>
      </c>
    </row>
    <row r="30" spans="1:11" ht="15.75" customHeight="1" x14ac:dyDescent="0.25">
      <c r="B30" s="9" t="s">
        <v>268</v>
      </c>
      <c r="C30" s="10" t="s">
        <v>141</v>
      </c>
      <c r="D30" s="10" t="s">
        <v>143</v>
      </c>
      <c r="E30" s="34">
        <v>56122.89</v>
      </c>
      <c r="F30" s="34" t="s">
        <v>173</v>
      </c>
      <c r="G30" s="34" t="s">
        <v>107</v>
      </c>
      <c r="H30" s="35" t="s">
        <v>122</v>
      </c>
      <c r="I30" s="35" t="s">
        <v>150</v>
      </c>
      <c r="J30" s="35">
        <v>49279</v>
      </c>
      <c r="K30" s="58">
        <v>6.9929093780938548E-2</v>
      </c>
    </row>
    <row r="31" spans="1:11" ht="15.75" customHeight="1" x14ac:dyDescent="0.25">
      <c r="B31" s="9" t="s">
        <v>269</v>
      </c>
      <c r="C31" s="10" t="s">
        <v>141</v>
      </c>
      <c r="D31" s="10" t="s">
        <v>143</v>
      </c>
      <c r="E31" s="34">
        <v>53930</v>
      </c>
      <c r="F31" s="34" t="s">
        <v>173</v>
      </c>
      <c r="G31" s="34" t="s">
        <v>107</v>
      </c>
      <c r="H31" s="35" t="s">
        <v>112</v>
      </c>
      <c r="I31" s="35" t="s">
        <v>150</v>
      </c>
      <c r="J31" s="35">
        <v>49258</v>
      </c>
      <c r="K31" s="58">
        <v>6.719675390212472E-2</v>
      </c>
    </row>
    <row r="32" spans="1:11" ht="15.75" customHeight="1" x14ac:dyDescent="0.25">
      <c r="B32" s="9" t="s">
        <v>132</v>
      </c>
      <c r="C32" s="10" t="s">
        <v>141</v>
      </c>
      <c r="D32" s="10" t="s">
        <v>143</v>
      </c>
      <c r="E32" s="34">
        <v>30008.66</v>
      </c>
      <c r="F32" s="34" t="s">
        <v>184</v>
      </c>
      <c r="G32" s="34" t="s">
        <v>107</v>
      </c>
      <c r="H32" s="35" t="s">
        <v>145</v>
      </c>
      <c r="I32" s="35" t="s">
        <v>150</v>
      </c>
      <c r="J32" s="35">
        <v>45260</v>
      </c>
      <c r="K32" s="58">
        <v>3.7390775838170479E-2</v>
      </c>
    </row>
    <row r="33" spans="1:11" ht="15.75" customHeight="1" x14ac:dyDescent="0.25">
      <c r="B33" s="9" t="s">
        <v>270</v>
      </c>
      <c r="C33" s="10" t="s">
        <v>141</v>
      </c>
      <c r="D33" s="10" t="s">
        <v>143</v>
      </c>
      <c r="E33" s="34">
        <v>23024.7</v>
      </c>
      <c r="F33" s="34" t="s">
        <v>173</v>
      </c>
      <c r="G33" s="34" t="s">
        <v>107</v>
      </c>
      <c r="H33" s="35" t="s">
        <v>145</v>
      </c>
      <c r="I33" s="35" t="s">
        <v>150</v>
      </c>
      <c r="J33" s="35">
        <v>45180</v>
      </c>
      <c r="K33" s="58">
        <v>2.8688765057857425E-2</v>
      </c>
    </row>
    <row r="34" spans="1:11" ht="15.75" customHeight="1" x14ac:dyDescent="0.25">
      <c r="B34" s="9" t="s">
        <v>131</v>
      </c>
      <c r="C34" s="10" t="s">
        <v>141</v>
      </c>
      <c r="D34" s="10" t="s">
        <v>143</v>
      </c>
      <c r="E34" s="34">
        <v>8511</v>
      </c>
      <c r="F34" s="34" t="s">
        <v>183</v>
      </c>
      <c r="G34" s="34" t="s">
        <v>108</v>
      </c>
      <c r="H34" s="35" t="s">
        <v>146</v>
      </c>
      <c r="I34" s="35" t="s">
        <v>114</v>
      </c>
      <c r="J34" s="35">
        <v>44566</v>
      </c>
      <c r="K34" s="58">
        <v>1.0604701881345883E-2</v>
      </c>
    </row>
    <row r="35" spans="1:11" ht="15.75" customHeight="1" x14ac:dyDescent="0.25">
      <c r="B35" s="9" t="s">
        <v>133</v>
      </c>
      <c r="C35" s="10" t="s">
        <v>141</v>
      </c>
      <c r="D35" s="10" t="s">
        <v>143</v>
      </c>
      <c r="E35" s="34">
        <v>8188.5599999999995</v>
      </c>
      <c r="F35" s="34" t="s">
        <v>185</v>
      </c>
      <c r="G35" s="34" t="s">
        <v>108</v>
      </c>
      <c r="H35" s="35" t="s">
        <v>122</v>
      </c>
      <c r="I35" s="35" t="s">
        <v>150</v>
      </c>
      <c r="J35" s="35">
        <v>45992</v>
      </c>
      <c r="K35" s="58">
        <v>1.0202941797381463E-2</v>
      </c>
    </row>
    <row r="36" spans="1:11" ht="15.75" customHeight="1" x14ac:dyDescent="0.25">
      <c r="B36" s="9" t="s">
        <v>129</v>
      </c>
      <c r="C36" s="10" t="s">
        <v>141</v>
      </c>
      <c r="D36" s="10" t="s">
        <v>143</v>
      </c>
      <c r="E36" s="34">
        <v>6731.91</v>
      </c>
      <c r="F36" s="34" t="s">
        <v>182</v>
      </c>
      <c r="G36" s="34" t="s">
        <v>108</v>
      </c>
      <c r="H36" s="35" t="s">
        <v>113</v>
      </c>
      <c r="I36" s="35" t="s">
        <v>150</v>
      </c>
      <c r="J36" s="35">
        <v>45688</v>
      </c>
      <c r="K36" s="58">
        <v>8.3879566022854145E-3</v>
      </c>
    </row>
    <row r="37" spans="1:11" ht="15.75" customHeight="1" x14ac:dyDescent="0.25">
      <c r="B37" s="9" t="s">
        <v>134</v>
      </c>
      <c r="C37" s="10" t="s">
        <v>141</v>
      </c>
      <c r="D37" s="10" t="s">
        <v>143</v>
      </c>
      <c r="E37" s="34">
        <v>5461</v>
      </c>
      <c r="F37" s="34" t="s">
        <v>185</v>
      </c>
      <c r="G37" s="34" t="s">
        <v>108</v>
      </c>
      <c r="H37" s="35" t="s">
        <v>145</v>
      </c>
      <c r="I37" s="35" t="s">
        <v>150</v>
      </c>
      <c r="J37" s="35">
        <v>44562</v>
      </c>
      <c r="K37" s="58">
        <v>6.8044033573058235E-3</v>
      </c>
    </row>
    <row r="38" spans="1:11" ht="15.75" customHeight="1" x14ac:dyDescent="0.25">
      <c r="B38" s="9" t="s">
        <v>135</v>
      </c>
      <c r="C38" s="10" t="s">
        <v>141</v>
      </c>
      <c r="D38" s="10" t="s">
        <v>143</v>
      </c>
      <c r="E38" s="34">
        <v>5438.3700000000008</v>
      </c>
      <c r="F38" s="34" t="s">
        <v>185</v>
      </c>
      <c r="G38" s="34" t="s">
        <v>108</v>
      </c>
      <c r="H38" s="35" t="s">
        <v>146</v>
      </c>
      <c r="I38" s="35" t="s">
        <v>150</v>
      </c>
      <c r="J38" s="35">
        <v>45657</v>
      </c>
      <c r="K38" s="58">
        <v>6.7762063882569638E-3</v>
      </c>
    </row>
    <row r="39" spans="1:11" ht="15.75" customHeight="1" x14ac:dyDescent="0.25">
      <c r="B39" s="9" t="s">
        <v>130</v>
      </c>
      <c r="C39" s="10" t="s">
        <v>141</v>
      </c>
      <c r="D39" s="10" t="s">
        <v>143</v>
      </c>
      <c r="E39" s="34">
        <v>4644.6000000000004</v>
      </c>
      <c r="F39" s="34" t="s">
        <v>182</v>
      </c>
      <c r="G39" s="34" t="s">
        <v>108</v>
      </c>
      <c r="H39" s="35" t="s">
        <v>178</v>
      </c>
      <c r="I39" s="35" t="s">
        <v>150</v>
      </c>
      <c r="J39" s="35">
        <v>45869</v>
      </c>
      <c r="K39" s="58">
        <v>5.7871693523791675E-3</v>
      </c>
    </row>
    <row r="40" spans="1:11" s="7" customFormat="1" ht="15.75" customHeight="1" x14ac:dyDescent="0.25">
      <c r="A40" s="6"/>
      <c r="B40" s="9" t="s">
        <v>136</v>
      </c>
      <c r="C40" s="10" t="s">
        <v>141</v>
      </c>
      <c r="D40" s="10" t="s">
        <v>143</v>
      </c>
      <c r="E40" s="34">
        <v>775</v>
      </c>
      <c r="F40" s="34" t="s">
        <v>180</v>
      </c>
      <c r="G40" s="34" t="s">
        <v>108</v>
      </c>
      <c r="H40" s="35" t="s">
        <v>148</v>
      </c>
      <c r="I40" s="35" t="s">
        <v>150</v>
      </c>
      <c r="J40" s="35" t="s">
        <v>271</v>
      </c>
      <c r="K40" s="58">
        <v>9.656496249609986E-4</v>
      </c>
    </row>
    <row r="41" spans="1:11" ht="15.75" customHeight="1" x14ac:dyDescent="0.25">
      <c r="B41" s="9" t="s">
        <v>193</v>
      </c>
      <c r="C41" s="10" t="s">
        <v>141</v>
      </c>
      <c r="D41" s="10" t="s">
        <v>143</v>
      </c>
      <c r="E41" s="34">
        <v>23261.97</v>
      </c>
      <c r="F41" s="34" t="s">
        <v>121</v>
      </c>
      <c r="G41" s="34" t="s">
        <v>121</v>
      </c>
      <c r="H41" s="34" t="s">
        <v>121</v>
      </c>
      <c r="I41" s="34" t="s">
        <v>121</v>
      </c>
      <c r="J41" s="34" t="s">
        <v>121</v>
      </c>
      <c r="K41" s="58">
        <v>2.8984403363037422E-2</v>
      </c>
    </row>
    <row r="42" spans="1:11" ht="15.75" customHeight="1" x14ac:dyDescent="0.25">
      <c r="B42" s="54" t="s">
        <v>191</v>
      </c>
      <c r="C42" s="55"/>
      <c r="D42" s="55"/>
      <c r="E42" s="56">
        <v>226098.66</v>
      </c>
      <c r="F42" s="56"/>
      <c r="G42" s="56"/>
      <c r="H42" s="57"/>
      <c r="I42" s="57"/>
      <c r="J42" s="57"/>
      <c r="K42" s="59">
        <v>0.28171882094604433</v>
      </c>
    </row>
    <row r="43" spans="1:11" s="7" customFormat="1" ht="15.75" customHeight="1" x14ac:dyDescent="0.25">
      <c r="A43" s="6"/>
      <c r="B43" s="64" t="s">
        <v>272</v>
      </c>
      <c r="C43" s="10" t="s">
        <v>124</v>
      </c>
      <c r="D43" s="10" t="s">
        <v>125</v>
      </c>
      <c r="E43" s="34">
        <v>47912.9</v>
      </c>
      <c r="F43" s="34" t="s">
        <v>173</v>
      </c>
      <c r="G43" s="34" t="s">
        <v>107</v>
      </c>
      <c r="H43" s="35" t="s">
        <v>112</v>
      </c>
      <c r="I43" s="35" t="s">
        <v>114</v>
      </c>
      <c r="J43" s="35">
        <v>47437</v>
      </c>
      <c r="K43" s="58">
        <v>5.9699450213927523E-2</v>
      </c>
    </row>
    <row r="44" spans="1:11" s="7" customFormat="1" ht="15.75" customHeight="1" x14ac:dyDescent="0.25">
      <c r="A44" s="6"/>
      <c r="B44" s="9" t="s">
        <v>273</v>
      </c>
      <c r="C44" s="10" t="s">
        <v>102</v>
      </c>
      <c r="D44" s="10" t="s">
        <v>103</v>
      </c>
      <c r="E44" s="34">
        <v>38410</v>
      </c>
      <c r="F44" s="34" t="s">
        <v>173</v>
      </c>
      <c r="G44" s="34" t="s">
        <v>107</v>
      </c>
      <c r="H44" s="35" t="s">
        <v>112</v>
      </c>
      <c r="I44" s="35" t="s">
        <v>114</v>
      </c>
      <c r="J44" s="35">
        <v>49444</v>
      </c>
      <c r="K44" s="58">
        <v>4.7858841412583168E-2</v>
      </c>
    </row>
    <row r="45" spans="1:11" ht="15.75" customHeight="1" x14ac:dyDescent="0.25">
      <c r="B45" s="54" t="s">
        <v>235</v>
      </c>
      <c r="C45" s="55"/>
      <c r="D45" s="55"/>
      <c r="E45" s="56">
        <v>86322.9</v>
      </c>
      <c r="F45" s="56"/>
      <c r="G45" s="56"/>
      <c r="H45" s="57"/>
      <c r="I45" s="57"/>
      <c r="J45" s="57"/>
      <c r="K45" s="59">
        <v>0.10755829162651069</v>
      </c>
    </row>
    <row r="46" spans="1:11" ht="15.75" customHeight="1" x14ac:dyDescent="0.25">
      <c r="B46" s="71" t="s">
        <v>192</v>
      </c>
      <c r="C46" s="72"/>
      <c r="D46" s="72"/>
      <c r="E46" s="73">
        <v>802568.53</v>
      </c>
      <c r="F46" s="73"/>
      <c r="G46" s="73"/>
      <c r="H46" s="74"/>
      <c r="I46" s="74"/>
      <c r="J46" s="74"/>
      <c r="K46" s="75">
        <v>1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67"/>
  <sheetViews>
    <sheetView showGridLines="0" showRowColHeaders="0" zoomScaleNormal="100" workbookViewId="0"/>
  </sheetViews>
  <sheetFormatPr defaultRowHeight="15" x14ac:dyDescent="0.25"/>
  <cols>
    <col min="1" max="1" width="3.140625" customWidth="1"/>
    <col min="2" max="4" width="10.28515625" customWidth="1"/>
    <col min="5" max="5" width="0.85546875" customWidth="1"/>
    <col min="6" max="8" width="10.28515625" customWidth="1"/>
    <col min="9" max="9" width="0.85546875" customWidth="1"/>
    <col min="10" max="12" width="10.28515625" customWidth="1"/>
    <col min="13" max="13" width="0.85546875" customWidth="1"/>
    <col min="14" max="16" width="10.28515625" customWidth="1"/>
    <col min="17" max="17" width="0.85546875" customWidth="1"/>
    <col min="18" max="20" width="10.28515625" customWidth="1"/>
    <col min="21" max="21" width="0.85546875" customWidth="1"/>
  </cols>
  <sheetData>
    <row r="1" spans="2:20" ht="56.25" customHeight="1" x14ac:dyDescent="0.25"/>
    <row r="2" spans="2:20" ht="20.25" customHeight="1" x14ac:dyDescent="0.25">
      <c r="B2" s="2" t="s">
        <v>97</v>
      </c>
    </row>
    <row r="3" spans="2:20" ht="20.25" customHeight="1" x14ac:dyDescent="0.25">
      <c r="B3" s="2"/>
    </row>
    <row r="4" spans="2:20" x14ac:dyDescent="0.25">
      <c r="B4" s="60"/>
    </row>
    <row r="5" spans="2:20" x14ac:dyDescent="0.25">
      <c r="B5" s="60"/>
    </row>
    <row r="12" spans="2:20" s="1" customFormat="1" x14ac:dyDescent="0.25">
      <c r="B12" s="1" t="s">
        <v>232</v>
      </c>
      <c r="C12"/>
      <c r="D12"/>
      <c r="F12" s="1" t="s">
        <v>128</v>
      </c>
      <c r="J12" s="1" t="s">
        <v>206</v>
      </c>
      <c r="M12"/>
      <c r="N12" s="1" t="s">
        <v>242</v>
      </c>
      <c r="O12"/>
      <c r="P12"/>
      <c r="Q12"/>
      <c r="R12" s="1" t="s">
        <v>243</v>
      </c>
      <c r="S12"/>
      <c r="T12"/>
    </row>
    <row r="13" spans="2:20" x14ac:dyDescent="0.25">
      <c r="B13" t="s">
        <v>226</v>
      </c>
      <c r="F13" t="s">
        <v>205</v>
      </c>
      <c r="J13" t="s">
        <v>205</v>
      </c>
      <c r="N13" t="s">
        <v>244</v>
      </c>
      <c r="R13" t="s">
        <v>215</v>
      </c>
    </row>
    <row r="14" spans="2:20" x14ac:dyDescent="0.25">
      <c r="B14" t="s">
        <v>230</v>
      </c>
      <c r="F14" t="s">
        <v>120</v>
      </c>
      <c r="J14" t="s">
        <v>120</v>
      </c>
      <c r="N14" t="s">
        <v>245</v>
      </c>
      <c r="R14" t="s">
        <v>170</v>
      </c>
    </row>
    <row r="15" spans="2:20" x14ac:dyDescent="0.25">
      <c r="B15" t="s">
        <v>231</v>
      </c>
      <c r="F15" t="s">
        <v>204</v>
      </c>
      <c r="J15" t="s">
        <v>234</v>
      </c>
      <c r="N15" t="s">
        <v>246</v>
      </c>
      <c r="R15" t="s">
        <v>214</v>
      </c>
    </row>
    <row r="16" spans="2:20" x14ac:dyDescent="0.25">
      <c r="B16" s="61" t="s">
        <v>196</v>
      </c>
      <c r="F16" s="61" t="s">
        <v>196</v>
      </c>
      <c r="J16" s="61" t="s">
        <v>196</v>
      </c>
      <c r="N16" s="61" t="s">
        <v>247</v>
      </c>
      <c r="R16" s="61" t="s">
        <v>196</v>
      </c>
    </row>
    <row r="17" spans="2:18" x14ac:dyDescent="0.25">
      <c r="B17" s="61" t="s">
        <v>248</v>
      </c>
      <c r="F17" s="61" t="s">
        <v>249</v>
      </c>
      <c r="J17" s="61" t="s">
        <v>250</v>
      </c>
      <c r="N17" s="61" t="s">
        <v>249</v>
      </c>
      <c r="R17" s="61" t="s">
        <v>250</v>
      </c>
    </row>
    <row r="18" spans="2:18" x14ac:dyDescent="0.25">
      <c r="B18" s="62" t="s">
        <v>251</v>
      </c>
      <c r="F18" s="62" t="s">
        <v>251</v>
      </c>
      <c r="J18" s="62" t="s">
        <v>252</v>
      </c>
      <c r="N18" s="62" t="s">
        <v>253</v>
      </c>
      <c r="R18" s="62" t="s">
        <v>254</v>
      </c>
    </row>
    <row r="19" spans="2:18" ht="15.75" customHeight="1" x14ac:dyDescent="0.25">
      <c r="B19" s="61"/>
      <c r="F19" s="61"/>
      <c r="J19" s="60"/>
      <c r="N19" s="61"/>
      <c r="R19" s="61"/>
    </row>
    <row r="20" spans="2:18" x14ac:dyDescent="0.25">
      <c r="B20" s="61"/>
      <c r="F20" s="61"/>
    </row>
    <row r="28" spans="2:18" x14ac:dyDescent="0.25">
      <c r="B28" s="1" t="s">
        <v>224</v>
      </c>
      <c r="F28" s="62" t="s">
        <v>220</v>
      </c>
      <c r="J28" s="1" t="s">
        <v>216</v>
      </c>
      <c r="N28" s="1" t="s">
        <v>212</v>
      </c>
      <c r="O28" s="1"/>
      <c r="P28" s="1"/>
      <c r="R28" s="1" t="s">
        <v>207</v>
      </c>
    </row>
    <row r="29" spans="2:18" x14ac:dyDescent="0.25">
      <c r="B29" t="s">
        <v>225</v>
      </c>
      <c r="F29" t="s">
        <v>223</v>
      </c>
      <c r="J29" t="s">
        <v>217</v>
      </c>
      <c r="N29" t="s">
        <v>200</v>
      </c>
      <c r="R29" t="s">
        <v>208</v>
      </c>
    </row>
    <row r="30" spans="2:18" x14ac:dyDescent="0.25">
      <c r="B30" t="s">
        <v>126</v>
      </c>
      <c r="F30" s="61" t="s">
        <v>221</v>
      </c>
      <c r="J30" t="s">
        <v>218</v>
      </c>
      <c r="N30" t="s">
        <v>197</v>
      </c>
      <c r="R30" t="s">
        <v>151</v>
      </c>
    </row>
    <row r="31" spans="2:18" x14ac:dyDescent="0.25">
      <c r="B31" t="s">
        <v>236</v>
      </c>
      <c r="F31" t="s">
        <v>222</v>
      </c>
      <c r="J31" t="s">
        <v>219</v>
      </c>
      <c r="N31" t="s">
        <v>199</v>
      </c>
      <c r="R31" t="s">
        <v>209</v>
      </c>
    </row>
    <row r="32" spans="2:18" x14ac:dyDescent="0.25">
      <c r="B32" s="61" t="s">
        <v>196</v>
      </c>
      <c r="F32" s="61" t="s">
        <v>196</v>
      </c>
      <c r="J32" s="61" t="s">
        <v>196</v>
      </c>
      <c r="N32" s="61" t="s">
        <v>196</v>
      </c>
      <c r="R32" s="61" t="s">
        <v>210</v>
      </c>
    </row>
    <row r="33" spans="2:20" x14ac:dyDescent="0.25">
      <c r="B33" s="61" t="s">
        <v>249</v>
      </c>
      <c r="F33" s="61" t="s">
        <v>249</v>
      </c>
      <c r="J33" s="61" t="s">
        <v>255</v>
      </c>
      <c r="N33" s="61" t="s">
        <v>256</v>
      </c>
      <c r="R33" s="61" t="s">
        <v>250</v>
      </c>
    </row>
    <row r="34" spans="2:20" x14ac:dyDescent="0.25">
      <c r="B34" s="62" t="s">
        <v>251</v>
      </c>
      <c r="F34" s="62" t="s">
        <v>257</v>
      </c>
      <c r="J34" s="62" t="s">
        <v>257</v>
      </c>
      <c r="N34" s="62" t="s">
        <v>258</v>
      </c>
      <c r="R34" s="62" t="s">
        <v>259</v>
      </c>
    </row>
    <row r="35" spans="2:20" ht="15.75" customHeight="1" x14ac:dyDescent="0.25">
      <c r="B35" s="61"/>
      <c r="F35" s="61"/>
      <c r="J35" s="60"/>
      <c r="N35" s="61"/>
      <c r="R35" s="61"/>
    </row>
    <row r="36" spans="2:20" x14ac:dyDescent="0.25">
      <c r="F36" s="61"/>
    </row>
    <row r="44" spans="2:20" x14ac:dyDescent="0.25">
      <c r="B44" s="1" t="s">
        <v>211</v>
      </c>
      <c r="F44" s="1" t="s">
        <v>233</v>
      </c>
      <c r="J44" s="1" t="s">
        <v>213</v>
      </c>
      <c r="K44" s="1"/>
      <c r="L44" s="1"/>
      <c r="R44" s="1"/>
      <c r="S44" s="1"/>
      <c r="T44" s="1"/>
    </row>
    <row r="45" spans="2:20" x14ac:dyDescent="0.25">
      <c r="B45" t="s">
        <v>202</v>
      </c>
      <c r="F45" t="s">
        <v>226</v>
      </c>
      <c r="J45" t="s">
        <v>195</v>
      </c>
    </row>
    <row r="46" spans="2:20" x14ac:dyDescent="0.25">
      <c r="B46" t="s">
        <v>203</v>
      </c>
      <c r="F46" t="s">
        <v>229</v>
      </c>
      <c r="J46" t="s">
        <v>194</v>
      </c>
    </row>
    <row r="47" spans="2:20" x14ac:dyDescent="0.25">
      <c r="B47" t="s">
        <v>201</v>
      </c>
      <c r="F47" t="s">
        <v>227</v>
      </c>
      <c r="J47" s="61" t="s">
        <v>198</v>
      </c>
      <c r="R47" s="61"/>
    </row>
    <row r="48" spans="2:20" x14ac:dyDescent="0.25">
      <c r="B48" s="61" t="s">
        <v>196</v>
      </c>
      <c r="F48" s="61" t="s">
        <v>228</v>
      </c>
      <c r="J48" s="61" t="s">
        <v>196</v>
      </c>
      <c r="R48" s="61"/>
    </row>
    <row r="49" spans="2:20" x14ac:dyDescent="0.25">
      <c r="B49" s="61" t="s">
        <v>249</v>
      </c>
      <c r="F49" s="61" t="s">
        <v>249</v>
      </c>
      <c r="J49" s="61" t="s">
        <v>249</v>
      </c>
      <c r="R49" s="61"/>
    </row>
    <row r="50" spans="2:20" x14ac:dyDescent="0.25">
      <c r="B50" s="62" t="s">
        <v>251</v>
      </c>
      <c r="F50" s="62" t="s">
        <v>257</v>
      </c>
      <c r="J50" s="62" t="s">
        <v>251</v>
      </c>
      <c r="R50" s="62"/>
    </row>
    <row r="51" spans="2:20" ht="5.25" customHeight="1" x14ac:dyDescent="0.25">
      <c r="B51" s="61"/>
      <c r="F51" s="61"/>
      <c r="J51" s="60"/>
      <c r="N51" s="61"/>
      <c r="R51" s="61"/>
    </row>
    <row r="52" spans="2:20" x14ac:dyDescent="0.25">
      <c r="B52" s="60"/>
    </row>
    <row r="53" spans="2:20" x14ac:dyDescent="0.25">
      <c r="B53" s="60"/>
    </row>
    <row r="60" spans="2:20" s="1" customFormat="1" x14ac:dyDescent="0.25">
      <c r="C60"/>
      <c r="D60"/>
      <c r="O60"/>
      <c r="P60"/>
      <c r="S60"/>
      <c r="T60"/>
    </row>
    <row r="64" spans="2:20" x14ac:dyDescent="0.25">
      <c r="B64" s="61"/>
      <c r="F64" s="61"/>
      <c r="J64" s="61"/>
      <c r="N64" s="61"/>
      <c r="R64" s="61"/>
    </row>
    <row r="65" spans="2:18" x14ac:dyDescent="0.25">
      <c r="B65" s="61"/>
      <c r="F65" s="61"/>
      <c r="J65" s="61"/>
      <c r="N65" s="61"/>
      <c r="R65" s="61"/>
    </row>
    <row r="66" spans="2:18" x14ac:dyDescent="0.25">
      <c r="B66" s="62"/>
      <c r="F66" s="62"/>
      <c r="J66" s="62"/>
      <c r="N66" s="62"/>
      <c r="R66" s="62"/>
    </row>
    <row r="67" spans="2:18" ht="15.75" customHeight="1" x14ac:dyDescent="0.25">
      <c r="B67" s="61"/>
      <c r="F67" s="61"/>
      <c r="J67" s="60"/>
      <c r="N67" s="61"/>
      <c r="R67" s="61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5"/>
  <sheetViews>
    <sheetView showGridLines="0" showRowColHeaders="0" zoomScaleNormal="100" workbookViewId="0">
      <pane xSplit="2" ySplit="4" topLeftCell="AF77" activePane="bottomRight" state="frozen"/>
      <selection pane="topRight" activeCell="C1" sqref="C1"/>
      <selection pane="bottomLeft" activeCell="A5" sqref="A5"/>
      <selection pane="bottomRight" activeCell="AJ5" sqref="AJ5"/>
    </sheetView>
  </sheetViews>
  <sheetFormatPr defaultColWidth="9.140625" defaultRowHeight="15.75" customHeight="1" x14ac:dyDescent="0.25"/>
  <cols>
    <col min="1" max="1" width="3.140625" style="3" customWidth="1"/>
    <col min="2" max="2" width="85.7109375" style="11" customWidth="1"/>
    <col min="3" max="3" width="14.85546875" style="12" bestFit="1" customWidth="1"/>
    <col min="4" max="4" width="16" style="12" customWidth="1"/>
    <col min="5" max="18" width="14.85546875" style="12" bestFit="1" customWidth="1"/>
    <col min="19" max="36" width="14.85546875" style="12" customWidth="1"/>
    <col min="37" max="37" width="2.5703125" style="4" customWidth="1"/>
    <col min="38" max="38" width="11.5703125" style="4" bestFit="1" customWidth="1"/>
    <col min="39" max="16384" width="9.140625" style="4"/>
  </cols>
  <sheetData>
    <row r="1" spans="2:36" s="3" customFormat="1" ht="56.25" customHeight="1" x14ac:dyDescent="0.25">
      <c r="B1" s="4"/>
      <c r="C1" s="5">
        <f>B1+1</f>
        <v>1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</row>
    <row r="2" spans="2:36" s="3" customFormat="1" ht="15.75" customHeight="1" x14ac:dyDescent="0.25">
      <c r="B2" s="2" t="s">
        <v>97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2:36" s="3" customFormat="1" ht="15.75" customHeight="1" x14ac:dyDescent="0.25"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49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2:36" ht="15.75" customHeight="1" x14ac:dyDescent="0.25">
      <c r="B4" s="36" t="s">
        <v>29</v>
      </c>
      <c r="C4" s="37">
        <v>43252</v>
      </c>
      <c r="D4" s="38">
        <f t="shared" ref="D4:I4" si="0">IFERROR(EDATE(C4,1),0)</f>
        <v>43282</v>
      </c>
      <c r="E4" s="38">
        <f t="shared" si="0"/>
        <v>43313</v>
      </c>
      <c r="F4" s="37">
        <f t="shared" si="0"/>
        <v>43344</v>
      </c>
      <c r="G4" s="38">
        <f t="shared" si="0"/>
        <v>43374</v>
      </c>
      <c r="H4" s="38">
        <f t="shared" si="0"/>
        <v>43405</v>
      </c>
      <c r="I4" s="38">
        <f t="shared" si="0"/>
        <v>43435</v>
      </c>
      <c r="J4" s="38">
        <f t="shared" ref="J4:M4" si="1">IFERROR(EDATE(I4,1),0)</f>
        <v>43466</v>
      </c>
      <c r="K4" s="38">
        <f t="shared" si="1"/>
        <v>43497</v>
      </c>
      <c r="L4" s="38">
        <f t="shared" si="1"/>
        <v>43525</v>
      </c>
      <c r="M4" s="38">
        <f t="shared" si="1"/>
        <v>43556</v>
      </c>
      <c r="N4" s="38">
        <f t="shared" ref="N4" si="2">IFERROR(EDATE(M4,1),0)</f>
        <v>43586</v>
      </c>
      <c r="O4" s="38">
        <f t="shared" ref="O4" si="3">IFERROR(EDATE(N4,1),0)</f>
        <v>43617</v>
      </c>
      <c r="P4" s="38">
        <f t="shared" ref="P4" si="4">IFERROR(EDATE(O4,1),0)</f>
        <v>43647</v>
      </c>
      <c r="Q4" s="38">
        <f t="shared" ref="Q4" si="5">IFERROR(EDATE(P4,1),0)</f>
        <v>43678</v>
      </c>
      <c r="R4" s="38">
        <f t="shared" ref="R4" si="6">IFERROR(EDATE(Q4,1),0)</f>
        <v>43709</v>
      </c>
      <c r="S4" s="38">
        <f t="shared" ref="S4" si="7">IFERROR(EDATE(R4,1),0)</f>
        <v>43739</v>
      </c>
      <c r="T4" s="38">
        <f t="shared" ref="T4:U4" si="8">IFERROR(EDATE(S4,1),0)</f>
        <v>43770</v>
      </c>
      <c r="U4" s="38">
        <f t="shared" si="8"/>
        <v>43800</v>
      </c>
      <c r="V4" s="38">
        <f t="shared" ref="V4" si="9">IFERROR(EDATE(U4,1),0)</f>
        <v>43831</v>
      </c>
      <c r="W4" s="38">
        <f t="shared" ref="W4" si="10">IFERROR(EDATE(V4,1),0)</f>
        <v>43862</v>
      </c>
      <c r="X4" s="38">
        <f t="shared" ref="X4:AA4" si="11">IFERROR(EDATE(W4,1),0)</f>
        <v>43891</v>
      </c>
      <c r="Y4" s="38">
        <f t="shared" si="11"/>
        <v>43922</v>
      </c>
      <c r="Z4" s="38">
        <f t="shared" si="11"/>
        <v>43952</v>
      </c>
      <c r="AA4" s="38">
        <f t="shared" si="11"/>
        <v>43983</v>
      </c>
      <c r="AB4" s="38">
        <f t="shared" ref="AB4" si="12">IFERROR(EDATE(AA4,1),0)</f>
        <v>44013</v>
      </c>
      <c r="AC4" s="38">
        <f t="shared" ref="AC4" si="13">IFERROR(EDATE(AB4,1),0)</f>
        <v>44044</v>
      </c>
      <c r="AD4" s="38">
        <f t="shared" ref="AD4" si="14">IFERROR(EDATE(AC4,1),0)</f>
        <v>44075</v>
      </c>
      <c r="AE4" s="38">
        <f t="shared" ref="AE4" si="15">IFERROR(EDATE(AD4,1),0)</f>
        <v>44105</v>
      </c>
      <c r="AF4" s="38">
        <f t="shared" ref="AF4" si="16">IFERROR(EDATE(AE4,1),0)</f>
        <v>44136</v>
      </c>
      <c r="AG4" s="38">
        <f t="shared" ref="AG4" si="17">IFERROR(EDATE(AF4,1),0)</f>
        <v>44166</v>
      </c>
      <c r="AH4" s="38">
        <f t="shared" ref="AH4" si="18">IFERROR(EDATE(AG4,1),0)</f>
        <v>44197</v>
      </c>
      <c r="AI4" s="38">
        <f t="shared" ref="AI4" si="19">IFERROR(EDATE(AH4,1),0)</f>
        <v>44228</v>
      </c>
      <c r="AJ4" s="38">
        <f t="shared" ref="AJ4" si="20">IFERROR(EDATE(AI4,1),0)</f>
        <v>44256</v>
      </c>
    </row>
    <row r="5" spans="2:36" ht="15.75" customHeight="1" x14ac:dyDescent="0.25">
      <c r="B5" s="16" t="s">
        <v>30</v>
      </c>
      <c r="C5" s="13">
        <f t="shared" ref="C5:H5" si="21">SUM(C6,C7:C14)</f>
        <v>0</v>
      </c>
      <c r="D5" s="15">
        <f t="shared" si="21"/>
        <v>302293.90000000002</v>
      </c>
      <c r="E5" s="15">
        <f t="shared" si="21"/>
        <v>1690213.6099999999</v>
      </c>
      <c r="F5" s="13">
        <f t="shared" si="21"/>
        <v>1795006.85</v>
      </c>
      <c r="G5" s="15">
        <f t="shared" si="21"/>
        <v>1795030.07</v>
      </c>
      <c r="H5" s="15">
        <f t="shared" si="21"/>
        <v>2235459.4</v>
      </c>
      <c r="I5" s="15">
        <f t="shared" ref="I5:L5" si="22">SUM(I6,I7:I14)</f>
        <v>2268225.5237278338</v>
      </c>
      <c r="J5" s="15">
        <f t="shared" si="22"/>
        <v>2536388.6164475572</v>
      </c>
      <c r="K5" s="15">
        <f t="shared" si="22"/>
        <v>2531751.12</v>
      </c>
      <c r="L5" s="15">
        <f t="shared" si="22"/>
        <v>2536417.31</v>
      </c>
      <c r="M5" s="15">
        <f t="shared" ref="M5:R5" si="23">SUM(M6,M7:M14)</f>
        <v>2536417.31</v>
      </c>
      <c r="N5" s="15">
        <f t="shared" si="23"/>
        <v>2558466.87</v>
      </c>
      <c r="O5" s="15">
        <f t="shared" si="23"/>
        <v>3816704.330000001</v>
      </c>
      <c r="P5" s="15">
        <f t="shared" si="23"/>
        <v>4745622.3599999994</v>
      </c>
      <c r="Q5" s="15">
        <f t="shared" si="23"/>
        <v>4317300.42</v>
      </c>
      <c r="R5" s="15">
        <f t="shared" si="23"/>
        <v>4367310.67</v>
      </c>
      <c r="S5" s="15">
        <f t="shared" ref="S5:T5" si="24">SUM(S6,S7:S14)</f>
        <v>9827190.959999999</v>
      </c>
      <c r="T5" s="15">
        <f t="shared" si="24"/>
        <v>11057247.121418145</v>
      </c>
      <c r="U5" s="15">
        <f t="shared" ref="U5:X5" si="25">SUM(U6,U7:U14)</f>
        <v>10940512.82</v>
      </c>
      <c r="V5" s="15">
        <f t="shared" si="25"/>
        <v>11664687.139999999</v>
      </c>
      <c r="W5" s="15">
        <f t="shared" si="25"/>
        <v>9549032.5115496051</v>
      </c>
      <c r="X5" s="15">
        <f t="shared" si="25"/>
        <v>13050236.289999999</v>
      </c>
      <c r="Y5" s="15">
        <f t="shared" ref="Y5:AA5" si="26">SUM(Y6,Y7:Y14)</f>
        <v>9663841.1799999997</v>
      </c>
      <c r="Z5" s="15">
        <f t="shared" si="26"/>
        <v>9568808.7699999996</v>
      </c>
      <c r="AA5" s="15">
        <f t="shared" si="26"/>
        <v>8633164.995000001</v>
      </c>
      <c r="AB5" s="15">
        <f t="shared" ref="AB5:AG5" si="27">SUM(AB6,AB7:AB14)</f>
        <v>14402131.705999998</v>
      </c>
      <c r="AC5" s="15">
        <f t="shared" si="27"/>
        <v>12841424.264</v>
      </c>
      <c r="AD5" s="15">
        <f t="shared" si="27"/>
        <v>12759621.120000001</v>
      </c>
      <c r="AE5" s="15">
        <f t="shared" si="27"/>
        <v>12468458.429999996</v>
      </c>
      <c r="AF5" s="15">
        <f t="shared" si="27"/>
        <v>12553427.115166668</v>
      </c>
      <c r="AG5" s="15">
        <f t="shared" si="27"/>
        <v>16641690.439999996</v>
      </c>
      <c r="AH5" s="15">
        <f t="shared" ref="AH5:AJ5" si="28">SUM(AH6,AH7:AH14)</f>
        <v>14120414.974432847</v>
      </c>
      <c r="AI5" s="15">
        <f t="shared" si="28"/>
        <v>14587436.88333251</v>
      </c>
      <c r="AJ5" s="15">
        <f t="shared" si="28"/>
        <v>17709697.920987859</v>
      </c>
    </row>
    <row r="6" spans="2:36" ht="15.75" customHeight="1" x14ac:dyDescent="0.25">
      <c r="B6" s="17" t="s">
        <v>154</v>
      </c>
      <c r="C6" s="14">
        <v>0</v>
      </c>
      <c r="D6" s="14">
        <v>302293.90000000002</v>
      </c>
      <c r="E6" s="14">
        <v>1690213.6099999999</v>
      </c>
      <c r="F6" s="14">
        <v>1795006.85</v>
      </c>
      <c r="G6" s="14">
        <v>1795030.07</v>
      </c>
      <c r="H6" s="14">
        <v>2235459.4</v>
      </c>
      <c r="I6" s="14">
        <v>2268225.5237278338</v>
      </c>
      <c r="J6" s="14">
        <v>2536388.6164475572</v>
      </c>
      <c r="K6" s="14">
        <v>2531751.12</v>
      </c>
      <c r="L6" s="14">
        <v>2536417.31</v>
      </c>
      <c r="M6" s="14">
        <v>2536417.31</v>
      </c>
      <c r="N6" s="14">
        <v>2558466.87</v>
      </c>
      <c r="O6" s="14">
        <v>3816704.330000001</v>
      </c>
      <c r="P6" s="14">
        <v>4745622.3599999994</v>
      </c>
      <c r="Q6" s="14">
        <v>4317300.42</v>
      </c>
      <c r="R6" s="14">
        <v>4367310.67</v>
      </c>
      <c r="S6" s="14">
        <v>9827190.959999999</v>
      </c>
      <c r="T6" s="14">
        <v>11057247.121418145</v>
      </c>
      <c r="U6" s="14">
        <v>10940512.82</v>
      </c>
      <c r="V6" s="14">
        <v>11664687.139999999</v>
      </c>
      <c r="W6" s="14">
        <v>9549032.5115496051</v>
      </c>
      <c r="X6" s="14">
        <v>13050236.289999999</v>
      </c>
      <c r="Y6" s="14">
        <v>9663841.1799999997</v>
      </c>
      <c r="Z6" s="14">
        <v>9568808.7699999996</v>
      </c>
      <c r="AA6" s="14">
        <v>8633164.995000001</v>
      </c>
      <c r="AB6" s="14">
        <v>14402131.705999998</v>
      </c>
      <c r="AC6" s="14">
        <v>12841424.264</v>
      </c>
      <c r="AD6" s="14">
        <v>12759621.120000001</v>
      </c>
      <c r="AE6" s="14">
        <v>12468458.429999996</v>
      </c>
      <c r="AF6" s="14">
        <v>12553427.115166668</v>
      </c>
      <c r="AG6" s="14">
        <v>16641690.439999996</v>
      </c>
      <c r="AH6" s="14">
        <v>14120414.974432847</v>
      </c>
      <c r="AI6" s="14">
        <v>14587436.88333251</v>
      </c>
      <c r="AJ6" s="14">
        <v>17709697.920987859</v>
      </c>
    </row>
    <row r="7" spans="2:36" ht="15.75" customHeight="1" x14ac:dyDescent="0.25">
      <c r="B7" s="18" t="s">
        <v>31</v>
      </c>
      <c r="C7" s="8">
        <v>0</v>
      </c>
      <c r="D7" s="8">
        <v>0</v>
      </c>
      <c r="E7" s="8">
        <v>0</v>
      </c>
      <c r="F7" s="8">
        <v>0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</row>
    <row r="8" spans="2:36" ht="15.75" customHeight="1" x14ac:dyDescent="0.25">
      <c r="B8" s="18" t="s">
        <v>32</v>
      </c>
      <c r="C8" s="8">
        <v>0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</row>
    <row r="9" spans="2:36" ht="15.75" customHeight="1" x14ac:dyDescent="0.25">
      <c r="B9" s="18" t="s">
        <v>33</v>
      </c>
      <c r="C9" s="8">
        <v>0</v>
      </c>
      <c r="D9" s="8">
        <v>0</v>
      </c>
      <c r="E9" s="8">
        <v>0</v>
      </c>
      <c r="F9" s="8">
        <v>0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</row>
    <row r="10" spans="2:36" ht="15.75" customHeight="1" x14ac:dyDescent="0.25">
      <c r="B10" s="18" t="s">
        <v>34</v>
      </c>
      <c r="C10" s="8">
        <v>0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</row>
    <row r="11" spans="2:36" ht="15.75" customHeight="1" x14ac:dyDescent="0.25">
      <c r="B11" s="18" t="s">
        <v>35</v>
      </c>
      <c r="C11" s="8">
        <v>0</v>
      </c>
      <c r="D11" s="8">
        <v>0</v>
      </c>
      <c r="E11" s="8">
        <v>0</v>
      </c>
      <c r="F11" s="8">
        <v>0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8">
        <v>0</v>
      </c>
      <c r="AG11" s="8">
        <v>0</v>
      </c>
      <c r="AH11" s="8">
        <v>0</v>
      </c>
      <c r="AI11" s="8">
        <v>0</v>
      </c>
      <c r="AJ11" s="8">
        <v>0</v>
      </c>
    </row>
    <row r="12" spans="2:36" ht="15.75" customHeight="1" x14ac:dyDescent="0.25">
      <c r="B12" s="18" t="s">
        <v>36</v>
      </c>
      <c r="C12" s="8">
        <v>0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</row>
    <row r="13" spans="2:36" ht="15.75" customHeight="1" x14ac:dyDescent="0.25">
      <c r="B13" s="18" t="s">
        <v>37</v>
      </c>
      <c r="C13" s="8">
        <v>0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</row>
    <row r="14" spans="2:36" ht="15.75" customHeight="1" x14ac:dyDescent="0.25">
      <c r="B14" s="18" t="s">
        <v>38</v>
      </c>
      <c r="C14" s="8">
        <v>0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</row>
    <row r="16" spans="2:36" ht="15.75" customHeight="1" x14ac:dyDescent="0.25">
      <c r="B16" s="16" t="s">
        <v>39</v>
      </c>
      <c r="C16" s="21">
        <f t="shared" ref="C16:AJ16" si="29">SUM(C17:C17)</f>
        <v>0</v>
      </c>
      <c r="D16" s="20">
        <f t="shared" si="29"/>
        <v>0</v>
      </c>
      <c r="E16" s="20">
        <f t="shared" si="29"/>
        <v>0</v>
      </c>
      <c r="F16" s="21">
        <f t="shared" si="29"/>
        <v>0</v>
      </c>
      <c r="G16" s="20">
        <f t="shared" si="29"/>
        <v>0</v>
      </c>
      <c r="H16" s="20">
        <f t="shared" si="29"/>
        <v>0</v>
      </c>
      <c r="I16" s="20">
        <f t="shared" si="29"/>
        <v>0</v>
      </c>
      <c r="J16" s="20">
        <f t="shared" si="29"/>
        <v>0</v>
      </c>
      <c r="K16" s="20">
        <f t="shared" si="29"/>
        <v>0</v>
      </c>
      <c r="L16" s="20">
        <f t="shared" si="29"/>
        <v>0</v>
      </c>
      <c r="M16" s="20">
        <f t="shared" si="29"/>
        <v>0</v>
      </c>
      <c r="N16" s="20">
        <f t="shared" si="29"/>
        <v>0</v>
      </c>
      <c r="O16" s="20">
        <f t="shared" si="29"/>
        <v>0</v>
      </c>
      <c r="P16" s="20">
        <f t="shared" si="29"/>
        <v>0</v>
      </c>
      <c r="Q16" s="20">
        <f t="shared" si="29"/>
        <v>0</v>
      </c>
      <c r="R16" s="20">
        <f t="shared" si="29"/>
        <v>0</v>
      </c>
      <c r="S16" s="20">
        <f t="shared" si="29"/>
        <v>0</v>
      </c>
      <c r="T16" s="20">
        <f t="shared" si="29"/>
        <v>0</v>
      </c>
      <c r="U16" s="20">
        <f t="shared" si="29"/>
        <v>0</v>
      </c>
      <c r="V16" s="20">
        <f t="shared" si="29"/>
        <v>0</v>
      </c>
      <c r="W16" s="20">
        <f t="shared" si="29"/>
        <v>0</v>
      </c>
      <c r="X16" s="20">
        <f t="shared" si="29"/>
        <v>0</v>
      </c>
      <c r="Y16" s="20">
        <f t="shared" si="29"/>
        <v>0</v>
      </c>
      <c r="Z16" s="20">
        <f t="shared" si="29"/>
        <v>0</v>
      </c>
      <c r="AA16" s="20">
        <f t="shared" si="29"/>
        <v>0</v>
      </c>
      <c r="AB16" s="20">
        <f t="shared" si="29"/>
        <v>0</v>
      </c>
      <c r="AC16" s="20">
        <f t="shared" si="29"/>
        <v>0</v>
      </c>
      <c r="AD16" s="20">
        <f t="shared" si="29"/>
        <v>0</v>
      </c>
      <c r="AE16" s="20">
        <f t="shared" si="29"/>
        <v>0</v>
      </c>
      <c r="AF16" s="20">
        <f t="shared" si="29"/>
        <v>0</v>
      </c>
      <c r="AG16" s="20">
        <f t="shared" si="29"/>
        <v>0</v>
      </c>
      <c r="AH16" s="20">
        <f t="shared" si="29"/>
        <v>0</v>
      </c>
      <c r="AI16" s="20">
        <f t="shared" si="29"/>
        <v>0</v>
      </c>
      <c r="AJ16" s="20">
        <f t="shared" si="29"/>
        <v>0</v>
      </c>
    </row>
    <row r="17" spans="2:36" ht="15.75" customHeight="1" x14ac:dyDescent="0.25">
      <c r="B17" s="17" t="s">
        <v>40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</row>
    <row r="19" spans="2:36" ht="15.75" customHeight="1" x14ac:dyDescent="0.25">
      <c r="B19" s="16" t="s">
        <v>41</v>
      </c>
      <c r="C19" s="21">
        <f t="shared" ref="C19:G19" si="30">SUM(C20:C23)</f>
        <v>0</v>
      </c>
      <c r="D19" s="20">
        <f t="shared" si="30"/>
        <v>0</v>
      </c>
      <c r="E19" s="20">
        <f t="shared" si="30"/>
        <v>0</v>
      </c>
      <c r="F19" s="21">
        <f t="shared" si="30"/>
        <v>0</v>
      </c>
      <c r="G19" s="20">
        <f t="shared" si="30"/>
        <v>0</v>
      </c>
      <c r="H19" s="20">
        <f t="shared" ref="H19:I19" si="31">SUM(H20:H23)</f>
        <v>0</v>
      </c>
      <c r="I19" s="20">
        <f t="shared" si="31"/>
        <v>0</v>
      </c>
      <c r="J19" s="20">
        <f t="shared" ref="J19:L19" si="32">SUM(J20:J23)</f>
        <v>0</v>
      </c>
      <c r="K19" s="20">
        <f t="shared" si="32"/>
        <v>0</v>
      </c>
      <c r="L19" s="20">
        <f t="shared" si="32"/>
        <v>0</v>
      </c>
      <c r="M19" s="20">
        <f t="shared" ref="M19:R19" si="33">SUM(M20:M23)</f>
        <v>0</v>
      </c>
      <c r="N19" s="20">
        <f t="shared" si="33"/>
        <v>0</v>
      </c>
      <c r="O19" s="20">
        <f t="shared" si="33"/>
        <v>0</v>
      </c>
      <c r="P19" s="20">
        <f t="shared" si="33"/>
        <v>0</v>
      </c>
      <c r="Q19" s="20">
        <f t="shared" si="33"/>
        <v>0</v>
      </c>
      <c r="R19" s="20">
        <f t="shared" si="33"/>
        <v>0</v>
      </c>
      <c r="S19" s="20">
        <f t="shared" ref="S19:T19" si="34">SUM(S20:S23)</f>
        <v>0</v>
      </c>
      <c r="T19" s="20">
        <f t="shared" si="34"/>
        <v>0</v>
      </c>
      <c r="U19" s="20">
        <f t="shared" ref="U19:X19" si="35">SUM(U20:U23)</f>
        <v>0</v>
      </c>
      <c r="V19" s="20">
        <f t="shared" si="35"/>
        <v>0</v>
      </c>
      <c r="W19" s="20">
        <f t="shared" si="35"/>
        <v>0</v>
      </c>
      <c r="X19" s="20">
        <f t="shared" si="35"/>
        <v>0</v>
      </c>
      <c r="Y19" s="20">
        <f t="shared" ref="Y19:AA19" si="36">SUM(Y20:Y23)</f>
        <v>0</v>
      </c>
      <c r="Z19" s="20">
        <f t="shared" si="36"/>
        <v>0</v>
      </c>
      <c r="AA19" s="20">
        <f t="shared" si="36"/>
        <v>0</v>
      </c>
      <c r="AB19" s="20">
        <f t="shared" ref="AB19:AD19" si="37">SUM(AB20:AB23)</f>
        <v>0</v>
      </c>
      <c r="AC19" s="20">
        <f t="shared" si="37"/>
        <v>0</v>
      </c>
      <c r="AD19" s="20">
        <f t="shared" si="37"/>
        <v>0</v>
      </c>
      <c r="AE19" s="20">
        <f t="shared" ref="AE19:AG19" si="38">SUM(AE20:AE23)</f>
        <v>0</v>
      </c>
      <c r="AF19" s="20">
        <f t="shared" si="38"/>
        <v>0</v>
      </c>
      <c r="AG19" s="20">
        <f t="shared" si="38"/>
        <v>0</v>
      </c>
      <c r="AH19" s="20">
        <f t="shared" ref="AH19:AJ19" si="39">SUM(AH20:AH23)</f>
        <v>0</v>
      </c>
      <c r="AI19" s="20">
        <f t="shared" si="39"/>
        <v>0</v>
      </c>
      <c r="AJ19" s="20">
        <f t="shared" si="39"/>
        <v>0</v>
      </c>
    </row>
    <row r="20" spans="2:36" ht="15.75" customHeight="1" x14ac:dyDescent="0.25">
      <c r="B20" s="17" t="s">
        <v>42</v>
      </c>
      <c r="C20" s="14">
        <v>0</v>
      </c>
      <c r="D20" s="14">
        <v>0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</row>
    <row r="21" spans="2:36" ht="15.75" customHeight="1" x14ac:dyDescent="0.25">
      <c r="B21" s="18" t="s">
        <v>43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</row>
    <row r="22" spans="2:36" ht="15.75" customHeight="1" x14ac:dyDescent="0.25">
      <c r="B22" s="18" t="s">
        <v>44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</row>
    <row r="23" spans="2:36" ht="15.75" customHeight="1" x14ac:dyDescent="0.25">
      <c r="B23" s="18" t="s">
        <v>45</v>
      </c>
      <c r="C23" s="8">
        <v>0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</row>
    <row r="25" spans="2:36" ht="15.75" customHeight="1" x14ac:dyDescent="0.25">
      <c r="B25" s="16" t="s">
        <v>46</v>
      </c>
      <c r="C25" s="21">
        <f t="shared" ref="C25:G25" si="40">SUM(C26:C30)</f>
        <v>0</v>
      </c>
      <c r="D25" s="20">
        <f t="shared" si="40"/>
        <v>0</v>
      </c>
      <c r="E25" s="20">
        <f t="shared" si="40"/>
        <v>0</v>
      </c>
      <c r="F25" s="21">
        <f t="shared" si="40"/>
        <v>0</v>
      </c>
      <c r="G25" s="20">
        <f t="shared" si="40"/>
        <v>0</v>
      </c>
      <c r="H25" s="20">
        <f t="shared" ref="H25:I25" si="41">SUM(H26:H30)</f>
        <v>0</v>
      </c>
      <c r="I25" s="20">
        <f t="shared" si="41"/>
        <v>0</v>
      </c>
      <c r="J25" s="20">
        <f t="shared" ref="J25:L25" si="42">SUM(J26:J30)</f>
        <v>0</v>
      </c>
      <c r="K25" s="20">
        <f t="shared" si="42"/>
        <v>0</v>
      </c>
      <c r="L25" s="20">
        <f t="shared" si="42"/>
        <v>0</v>
      </c>
      <c r="M25" s="20">
        <f t="shared" ref="M25:R25" si="43">SUM(M26:M30)</f>
        <v>0</v>
      </c>
      <c r="N25" s="20">
        <f t="shared" si="43"/>
        <v>0</v>
      </c>
      <c r="O25" s="20">
        <f t="shared" si="43"/>
        <v>0</v>
      </c>
      <c r="P25" s="20">
        <f t="shared" si="43"/>
        <v>0</v>
      </c>
      <c r="Q25" s="20">
        <f t="shared" si="43"/>
        <v>0</v>
      </c>
      <c r="R25" s="20">
        <f t="shared" si="43"/>
        <v>0</v>
      </c>
      <c r="S25" s="20">
        <f t="shared" ref="S25:T25" si="44">SUM(S26:S30)</f>
        <v>0</v>
      </c>
      <c r="T25" s="20">
        <f t="shared" si="44"/>
        <v>0</v>
      </c>
      <c r="U25" s="20">
        <f t="shared" ref="U25:X25" si="45">SUM(U26:U30)</f>
        <v>0</v>
      </c>
      <c r="V25" s="20">
        <f t="shared" si="45"/>
        <v>0</v>
      </c>
      <c r="W25" s="20">
        <f t="shared" si="45"/>
        <v>0</v>
      </c>
      <c r="X25" s="20">
        <f t="shared" si="45"/>
        <v>0</v>
      </c>
      <c r="Y25" s="20">
        <f t="shared" ref="Y25:AA25" si="46">SUM(Y26:Y30)</f>
        <v>0</v>
      </c>
      <c r="Z25" s="20">
        <f t="shared" si="46"/>
        <v>0</v>
      </c>
      <c r="AA25" s="20">
        <f t="shared" si="46"/>
        <v>0</v>
      </c>
      <c r="AB25" s="20">
        <f t="shared" ref="AB25:AD25" si="47">SUM(AB26:AB30)</f>
        <v>0</v>
      </c>
      <c r="AC25" s="20">
        <f t="shared" si="47"/>
        <v>0</v>
      </c>
      <c r="AD25" s="20">
        <f t="shared" si="47"/>
        <v>0</v>
      </c>
      <c r="AE25" s="20">
        <f t="shared" ref="AE25:AG25" si="48">SUM(AE26:AE30)</f>
        <v>0</v>
      </c>
      <c r="AF25" s="20">
        <f t="shared" si="48"/>
        <v>0</v>
      </c>
      <c r="AG25" s="20">
        <f t="shared" si="48"/>
        <v>0</v>
      </c>
      <c r="AH25" s="20">
        <f t="shared" ref="AH25:AJ25" si="49">SUM(AH26:AH30)</f>
        <v>0</v>
      </c>
      <c r="AI25" s="20">
        <f t="shared" si="49"/>
        <v>0</v>
      </c>
      <c r="AJ25" s="20">
        <f t="shared" si="49"/>
        <v>0</v>
      </c>
    </row>
    <row r="26" spans="2:36" ht="15.75" customHeight="1" x14ac:dyDescent="0.25">
      <c r="B26" s="17" t="s">
        <v>47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</row>
    <row r="27" spans="2:36" ht="15.75" customHeight="1" x14ac:dyDescent="0.25">
      <c r="B27" s="18" t="s">
        <v>48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</row>
    <row r="28" spans="2:36" ht="15.75" customHeight="1" x14ac:dyDescent="0.25">
      <c r="B28" s="18" t="s">
        <v>49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</row>
    <row r="29" spans="2:36" ht="15.75" customHeight="1" x14ac:dyDescent="0.25">
      <c r="B29" s="18" t="s">
        <v>50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0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</row>
    <row r="30" spans="2:36" ht="15.75" customHeight="1" x14ac:dyDescent="0.25">
      <c r="B30" s="18" t="s">
        <v>51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0</v>
      </c>
      <c r="Z30" s="8">
        <v>0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</row>
    <row r="32" spans="2:36" ht="15.75" customHeight="1" x14ac:dyDescent="0.25">
      <c r="B32" s="16" t="s">
        <v>52</v>
      </c>
      <c r="C32" s="20">
        <f t="shared" ref="C32:H32" si="50">SUM(C25,C19,C16,C5)</f>
        <v>0</v>
      </c>
      <c r="D32" s="20">
        <f t="shared" si="50"/>
        <v>302293.90000000002</v>
      </c>
      <c r="E32" s="20">
        <f t="shared" si="50"/>
        <v>1690213.6099999999</v>
      </c>
      <c r="F32" s="20">
        <f t="shared" si="50"/>
        <v>1795006.85</v>
      </c>
      <c r="G32" s="20">
        <f t="shared" si="50"/>
        <v>1795030.07</v>
      </c>
      <c r="H32" s="20">
        <f t="shared" si="50"/>
        <v>2235459.4</v>
      </c>
      <c r="I32" s="20">
        <f t="shared" ref="I32:L32" si="51">SUM(I25,I19,I16,I5)</f>
        <v>2268225.5237278338</v>
      </c>
      <c r="J32" s="20">
        <f t="shared" si="51"/>
        <v>2536388.6164475572</v>
      </c>
      <c r="K32" s="20">
        <f t="shared" si="51"/>
        <v>2531751.12</v>
      </c>
      <c r="L32" s="20">
        <f t="shared" si="51"/>
        <v>2536417.31</v>
      </c>
      <c r="M32" s="20">
        <f t="shared" ref="M32:R32" si="52">SUM(M25,M19,M16,M5)</f>
        <v>2536417.31</v>
      </c>
      <c r="N32" s="20">
        <f t="shared" si="52"/>
        <v>2558466.87</v>
      </c>
      <c r="O32" s="20">
        <f t="shared" si="52"/>
        <v>3816704.330000001</v>
      </c>
      <c r="P32" s="20">
        <f t="shared" si="52"/>
        <v>4745622.3599999994</v>
      </c>
      <c r="Q32" s="20">
        <f t="shared" si="52"/>
        <v>4317300.42</v>
      </c>
      <c r="R32" s="20">
        <f t="shared" si="52"/>
        <v>4367310.67</v>
      </c>
      <c r="S32" s="20">
        <f t="shared" ref="S32:T32" si="53">SUM(S25,S19,S16,S5)</f>
        <v>9827190.959999999</v>
      </c>
      <c r="T32" s="20">
        <f t="shared" si="53"/>
        <v>11057247.121418145</v>
      </c>
      <c r="U32" s="20">
        <f t="shared" ref="U32:X32" si="54">SUM(U25,U19,U16,U5)</f>
        <v>10940512.82</v>
      </c>
      <c r="V32" s="20">
        <f t="shared" si="54"/>
        <v>11664687.139999999</v>
      </c>
      <c r="W32" s="20">
        <f t="shared" si="54"/>
        <v>9549032.5115496051</v>
      </c>
      <c r="X32" s="20">
        <f t="shared" si="54"/>
        <v>13050236.289999999</v>
      </c>
      <c r="Y32" s="20">
        <f t="shared" ref="Y32:AA32" si="55">SUM(Y25,Y19,Y16,Y5)</f>
        <v>9663841.1799999997</v>
      </c>
      <c r="Z32" s="20">
        <f t="shared" si="55"/>
        <v>9568808.7699999996</v>
      </c>
      <c r="AA32" s="20">
        <f t="shared" si="55"/>
        <v>8633164.995000001</v>
      </c>
      <c r="AB32" s="20">
        <f t="shared" ref="AB32:AG32" si="56">SUM(AB25,AB19,AB16,AB5)</f>
        <v>14402131.705999998</v>
      </c>
      <c r="AC32" s="20">
        <f t="shared" si="56"/>
        <v>12841424.264</v>
      </c>
      <c r="AD32" s="20">
        <f t="shared" si="56"/>
        <v>12759621.120000001</v>
      </c>
      <c r="AE32" s="20">
        <f t="shared" si="56"/>
        <v>12468458.429999996</v>
      </c>
      <c r="AF32" s="20">
        <f t="shared" si="56"/>
        <v>12553427.115166668</v>
      </c>
      <c r="AG32" s="20">
        <f t="shared" si="56"/>
        <v>16641690.439999996</v>
      </c>
      <c r="AH32" s="20">
        <f t="shared" ref="AH32:AJ32" si="57">SUM(AH25,AH19,AH16,AH5)</f>
        <v>14120414.974432847</v>
      </c>
      <c r="AI32" s="20">
        <f t="shared" si="57"/>
        <v>14587436.88333251</v>
      </c>
      <c r="AJ32" s="20">
        <f t="shared" si="57"/>
        <v>17709697.920987859</v>
      </c>
    </row>
    <row r="33" spans="2:36" ht="15.75" customHeight="1" x14ac:dyDescent="0.25">
      <c r="B33" s="19"/>
    </row>
    <row r="34" spans="2:36" ht="15.75" customHeight="1" x14ac:dyDescent="0.25">
      <c r="B34" s="16" t="s">
        <v>53</v>
      </c>
      <c r="C34" s="21">
        <f t="shared" ref="C34:F34" si="58">SUM(C35:C39)</f>
        <v>365150.67441136099</v>
      </c>
      <c r="D34" s="20">
        <f t="shared" si="58"/>
        <v>424408.15999999805</v>
      </c>
      <c r="E34" s="20">
        <f t="shared" si="58"/>
        <v>377060.1500000034</v>
      </c>
      <c r="F34" s="21">
        <f t="shared" si="58"/>
        <v>216302.86999999615</v>
      </c>
      <c r="G34" s="20">
        <f>SUM(G35:G39)</f>
        <v>207476.850000006</v>
      </c>
      <c r="H34" s="20">
        <f>SUM(H35:H39)</f>
        <v>165458.40999999642</v>
      </c>
      <c r="I34" s="20">
        <f>SUM(I35:I39)</f>
        <v>108594.71000000089</v>
      </c>
      <c r="J34" s="20">
        <f t="shared" ref="J34:L34" si="59">SUM(J35:J39)</f>
        <v>0</v>
      </c>
      <c r="K34" s="20">
        <f t="shared" si="59"/>
        <v>0</v>
      </c>
      <c r="L34" s="20">
        <f t="shared" si="59"/>
        <v>0</v>
      </c>
      <c r="M34" s="20">
        <f t="shared" ref="M34:R34" si="60">SUM(M35:M39)</f>
        <v>0</v>
      </c>
      <c r="N34" s="20">
        <f t="shared" si="60"/>
        <v>0</v>
      </c>
      <c r="O34" s="20">
        <f t="shared" si="60"/>
        <v>0</v>
      </c>
      <c r="P34" s="20">
        <f t="shared" si="60"/>
        <v>0</v>
      </c>
      <c r="Q34" s="20">
        <f t="shared" si="60"/>
        <v>0</v>
      </c>
      <c r="R34" s="20">
        <f t="shared" si="60"/>
        <v>0</v>
      </c>
      <c r="S34" s="20">
        <f t="shared" ref="S34:T34" si="61">SUM(S35:S39)</f>
        <v>0</v>
      </c>
      <c r="T34" s="20">
        <f t="shared" si="61"/>
        <v>0</v>
      </c>
      <c r="U34" s="20">
        <f t="shared" ref="U34:X34" si="62">SUM(U35:U39)</f>
        <v>0</v>
      </c>
      <c r="V34" s="20">
        <f t="shared" si="62"/>
        <v>0</v>
      </c>
      <c r="W34" s="20">
        <f t="shared" si="62"/>
        <v>0</v>
      </c>
      <c r="X34" s="20">
        <f t="shared" si="62"/>
        <v>0</v>
      </c>
      <c r="Y34" s="20">
        <f t="shared" ref="Y34:AA34" si="63">SUM(Y35:Y39)</f>
        <v>0</v>
      </c>
      <c r="Z34" s="20">
        <f t="shared" si="63"/>
        <v>0</v>
      </c>
      <c r="AA34" s="20">
        <f t="shared" si="63"/>
        <v>0</v>
      </c>
      <c r="AB34" s="20">
        <f t="shared" ref="AB34:AD34" si="64">SUM(AB35:AB39)</f>
        <v>0</v>
      </c>
      <c r="AC34" s="20">
        <f t="shared" si="64"/>
        <v>0</v>
      </c>
      <c r="AD34" s="20">
        <f t="shared" si="64"/>
        <v>0</v>
      </c>
      <c r="AE34" s="20">
        <f t="shared" ref="AE34:AG34" si="65">SUM(AE35:AE39)</f>
        <v>0</v>
      </c>
      <c r="AF34" s="20">
        <f t="shared" si="65"/>
        <v>0</v>
      </c>
      <c r="AG34" s="20">
        <f t="shared" si="65"/>
        <v>0</v>
      </c>
      <c r="AH34" s="20">
        <f t="shared" ref="AH34:AJ34" si="66">SUM(AH35:AH39)</f>
        <v>0</v>
      </c>
      <c r="AI34" s="20">
        <f t="shared" si="66"/>
        <v>0</v>
      </c>
      <c r="AJ34" s="20">
        <f t="shared" si="66"/>
        <v>0</v>
      </c>
    </row>
    <row r="35" spans="2:36" ht="15.75" customHeight="1" x14ac:dyDescent="0.25">
      <c r="B35" s="17" t="s">
        <v>54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</row>
    <row r="36" spans="2:36" ht="15.75" customHeight="1" x14ac:dyDescent="0.25">
      <c r="B36" s="18" t="s">
        <v>55</v>
      </c>
      <c r="C36" s="8">
        <v>365150.67441136099</v>
      </c>
      <c r="D36" s="8">
        <v>424408.15999999805</v>
      </c>
      <c r="E36" s="8">
        <v>377060.1500000034</v>
      </c>
      <c r="F36" s="8">
        <v>216302.86999999615</v>
      </c>
      <c r="G36" s="8">
        <v>207476.850000006</v>
      </c>
      <c r="H36" s="8">
        <v>165458.40999999642</v>
      </c>
      <c r="I36" s="8">
        <v>108594.71000000089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</row>
    <row r="37" spans="2:36" ht="15.75" customHeight="1" x14ac:dyDescent="0.25">
      <c r="B37" s="18" t="s">
        <v>155</v>
      </c>
      <c r="C37" s="8">
        <v>0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</row>
    <row r="38" spans="2:36" ht="15.75" customHeight="1" x14ac:dyDescent="0.25">
      <c r="B38" s="18" t="s">
        <v>56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0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</v>
      </c>
    </row>
    <row r="39" spans="2:36" ht="15.75" customHeight="1" x14ac:dyDescent="0.25">
      <c r="B39" s="18" t="s">
        <v>57</v>
      </c>
      <c r="C39" s="8">
        <v>0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0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</row>
    <row r="41" spans="2:36" ht="15.75" customHeight="1" x14ac:dyDescent="0.25">
      <c r="B41" s="16" t="s">
        <v>58</v>
      </c>
      <c r="C41" s="20">
        <f t="shared" ref="C41:F41" si="67">SUM(C32,C34)</f>
        <v>365150.67441136099</v>
      </c>
      <c r="D41" s="20">
        <f t="shared" si="67"/>
        <v>726702.05999999808</v>
      </c>
      <c r="E41" s="20">
        <f t="shared" si="67"/>
        <v>2067273.7600000033</v>
      </c>
      <c r="F41" s="20">
        <f t="shared" si="67"/>
        <v>2011309.7199999962</v>
      </c>
      <c r="G41" s="20">
        <f>SUM(G32,G34)</f>
        <v>2002506.920000006</v>
      </c>
      <c r="H41" s="20">
        <f>SUM(H32,H34)</f>
        <v>2400917.8099999963</v>
      </c>
      <c r="I41" s="20">
        <f>SUM(I32,I34)</f>
        <v>2376820.2337278347</v>
      </c>
      <c r="J41" s="20">
        <f t="shared" ref="J41:L41" si="68">SUM(J32,J34)</f>
        <v>2536388.6164475572</v>
      </c>
      <c r="K41" s="20">
        <f t="shared" si="68"/>
        <v>2531751.12</v>
      </c>
      <c r="L41" s="20">
        <f t="shared" si="68"/>
        <v>2536417.31</v>
      </c>
      <c r="M41" s="20">
        <f t="shared" ref="M41:R41" si="69">SUM(M32,M34)</f>
        <v>2536417.31</v>
      </c>
      <c r="N41" s="20">
        <f t="shared" si="69"/>
        <v>2558466.87</v>
      </c>
      <c r="O41" s="20">
        <f t="shared" si="69"/>
        <v>3816704.330000001</v>
      </c>
      <c r="P41" s="20">
        <f t="shared" si="69"/>
        <v>4745622.3599999994</v>
      </c>
      <c r="Q41" s="20">
        <f t="shared" si="69"/>
        <v>4317300.42</v>
      </c>
      <c r="R41" s="20">
        <f t="shared" si="69"/>
        <v>4367310.67</v>
      </c>
      <c r="S41" s="20">
        <f t="shared" ref="S41:T41" si="70">SUM(S32,S34)</f>
        <v>9827190.959999999</v>
      </c>
      <c r="T41" s="20">
        <f t="shared" si="70"/>
        <v>11057247.121418145</v>
      </c>
      <c r="U41" s="20">
        <f t="shared" ref="U41:X41" si="71">SUM(U32,U34)</f>
        <v>10940512.82</v>
      </c>
      <c r="V41" s="20">
        <f t="shared" si="71"/>
        <v>11664687.139999999</v>
      </c>
      <c r="W41" s="20">
        <f t="shared" si="71"/>
        <v>9549032.5115496051</v>
      </c>
      <c r="X41" s="20">
        <f t="shared" si="71"/>
        <v>13050236.289999999</v>
      </c>
      <c r="Y41" s="20">
        <f t="shared" ref="Y41:AA41" si="72">SUM(Y32,Y34)</f>
        <v>9663841.1799999997</v>
      </c>
      <c r="Z41" s="20">
        <f t="shared" si="72"/>
        <v>9568808.7699999996</v>
      </c>
      <c r="AA41" s="20">
        <f t="shared" si="72"/>
        <v>8633164.995000001</v>
      </c>
      <c r="AB41" s="20">
        <f t="shared" ref="AB41:AD41" si="73">SUM(AB32,AB34)</f>
        <v>14402131.705999998</v>
      </c>
      <c r="AC41" s="20">
        <f t="shared" si="73"/>
        <v>12841424.264</v>
      </c>
      <c r="AD41" s="20">
        <f t="shared" si="73"/>
        <v>12759621.120000001</v>
      </c>
      <c r="AE41" s="20">
        <f t="shared" ref="AE41:AG41" si="74">SUM(AE32,AE34)</f>
        <v>12468458.429999996</v>
      </c>
      <c r="AF41" s="20">
        <f t="shared" si="74"/>
        <v>12553427.115166668</v>
      </c>
      <c r="AG41" s="20">
        <f t="shared" si="74"/>
        <v>16641690.439999996</v>
      </c>
      <c r="AH41" s="20">
        <f t="shared" ref="AH41:AJ41" si="75">SUM(AH32,AH34)</f>
        <v>14120414.974432847</v>
      </c>
      <c r="AI41" s="20">
        <f t="shared" si="75"/>
        <v>14587436.88333251</v>
      </c>
      <c r="AJ41" s="20">
        <f t="shared" si="75"/>
        <v>17709697.920987859</v>
      </c>
    </row>
    <row r="42" spans="2:36" ht="15.75" customHeight="1" x14ac:dyDescent="0.25">
      <c r="B42" s="19"/>
    </row>
    <row r="43" spans="2:36" ht="15.75" customHeight="1" x14ac:dyDescent="0.25">
      <c r="B43" s="16" t="s">
        <v>59</v>
      </c>
      <c r="C43" s="21">
        <f>SUM(C44:C46)</f>
        <v>821625.85363322636</v>
      </c>
      <c r="D43" s="21">
        <f t="shared" ref="D43:AD43" si="76">SUM(D44:D46)</f>
        <v>22844.419392845015</v>
      </c>
      <c r="E43" s="21">
        <f t="shared" si="76"/>
        <v>80336.324063675944</v>
      </c>
      <c r="F43" s="21">
        <f t="shared" si="76"/>
        <v>156459.36809189216</v>
      </c>
      <c r="G43" s="21">
        <f t="shared" si="76"/>
        <v>191859.34062440999</v>
      </c>
      <c r="H43" s="21">
        <f t="shared" si="76"/>
        <v>33093.135582999726</v>
      </c>
      <c r="I43" s="21">
        <f t="shared" si="76"/>
        <v>32525.632431199323</v>
      </c>
      <c r="J43" s="21">
        <f t="shared" si="76"/>
        <v>29020.032617891411</v>
      </c>
      <c r="K43" s="21">
        <f t="shared" si="76"/>
        <v>31978.038870687073</v>
      </c>
      <c r="L43" s="21">
        <f t="shared" si="76"/>
        <v>24418.019229887403</v>
      </c>
      <c r="M43" s="21">
        <f t="shared" si="76"/>
        <v>26542.237558765795</v>
      </c>
      <c r="N43" s="21">
        <f t="shared" si="76"/>
        <v>22815.064307809618</v>
      </c>
      <c r="O43" s="21">
        <f t="shared" si="76"/>
        <v>172882.76741495926</v>
      </c>
      <c r="P43" s="21">
        <f t="shared" si="76"/>
        <v>212675.27405266085</v>
      </c>
      <c r="Q43" s="21">
        <f t="shared" si="76"/>
        <v>158400.75206099046</v>
      </c>
      <c r="R43" s="21">
        <f t="shared" si="76"/>
        <v>306395.9544676675</v>
      </c>
      <c r="S43" s="21">
        <f t="shared" si="76"/>
        <v>527166.41575000272</v>
      </c>
      <c r="T43" s="21">
        <f t="shared" si="76"/>
        <v>205092.16374999846</v>
      </c>
      <c r="U43" s="21">
        <f t="shared" si="76"/>
        <v>128471.75575000401</v>
      </c>
      <c r="V43" s="21">
        <f t="shared" si="76"/>
        <v>56300.448499997598</v>
      </c>
      <c r="W43" s="21">
        <f t="shared" si="76"/>
        <v>27893.449847489268</v>
      </c>
      <c r="X43" s="21">
        <f t="shared" si="76"/>
        <v>42244.65040788427</v>
      </c>
      <c r="Y43" s="21">
        <f t="shared" si="76"/>
        <v>46188.610250548736</v>
      </c>
      <c r="Z43" s="21">
        <f t="shared" si="76"/>
        <v>29392.75197762153</v>
      </c>
      <c r="AA43" s="21">
        <f t="shared" si="76"/>
        <v>20149.488873473696</v>
      </c>
      <c r="AB43" s="21">
        <f t="shared" si="76"/>
        <v>479944.01378552848</v>
      </c>
      <c r="AC43" s="21">
        <f t="shared" si="76"/>
        <v>376341.59387396055</v>
      </c>
      <c r="AD43" s="21">
        <f t="shared" si="76"/>
        <v>401807.3883753292</v>
      </c>
      <c r="AE43" s="21">
        <f t="shared" ref="AE43" si="77">SUM(AE44:AE46)</f>
        <v>1189676.302683396</v>
      </c>
      <c r="AF43" s="21">
        <f t="shared" ref="AF43" si="78">SUM(AF44:AF46)</f>
        <v>383497.96524689108</v>
      </c>
      <c r="AG43" s="21">
        <f t="shared" ref="AG43:AJ43" si="79">SUM(AG44:AG46)</f>
        <v>382098.73977002932</v>
      </c>
      <c r="AH43" s="21">
        <f t="shared" si="79"/>
        <v>1716638.7155936121</v>
      </c>
      <c r="AI43" s="21">
        <f t="shared" si="79"/>
        <v>1302156.3299999963</v>
      </c>
      <c r="AJ43" s="21">
        <f t="shared" si="79"/>
        <v>849823.10699999821</v>
      </c>
    </row>
    <row r="44" spans="2:36" ht="15.75" customHeight="1" x14ac:dyDescent="0.25">
      <c r="B44" s="17" t="s">
        <v>239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161306.38</v>
      </c>
      <c r="AD44" s="14">
        <v>106933.62457617302</v>
      </c>
      <c r="AE44" s="14">
        <v>248426.89542382676</v>
      </c>
      <c r="AF44" s="14">
        <v>137156.05267662165</v>
      </c>
      <c r="AG44" s="14">
        <v>235765.86</v>
      </c>
      <c r="AH44" s="14">
        <v>536922.16999999783</v>
      </c>
      <c r="AI44" s="14">
        <v>134325.97</v>
      </c>
      <c r="AJ44" s="14">
        <v>156906.54999999999</v>
      </c>
    </row>
    <row r="45" spans="2:36" ht="15.75" customHeight="1" x14ac:dyDescent="0.25">
      <c r="B45" s="18" t="s">
        <v>238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64790.82542382698</v>
      </c>
      <c r="AE45" s="8">
        <v>773674.34546897328</v>
      </c>
      <c r="AF45" s="8">
        <v>47597.507323378333</v>
      </c>
      <c r="AG45" s="8">
        <v>0</v>
      </c>
      <c r="AH45" s="8">
        <v>1064132.478947432</v>
      </c>
      <c r="AI45" s="8">
        <v>594926.80000000005</v>
      </c>
      <c r="AJ45" s="8">
        <v>0</v>
      </c>
    </row>
    <row r="46" spans="2:36" ht="15.75" customHeight="1" x14ac:dyDescent="0.25">
      <c r="B46" s="18" t="s">
        <v>60</v>
      </c>
      <c r="C46" s="8">
        <v>821625.85363322636</v>
      </c>
      <c r="D46" s="8">
        <v>22844.419392845015</v>
      </c>
      <c r="E46" s="8">
        <v>80336.324063675944</v>
      </c>
      <c r="F46" s="8">
        <v>156459.36809189216</v>
      </c>
      <c r="G46" s="8">
        <v>191859.34062440999</v>
      </c>
      <c r="H46" s="8">
        <v>33093.135582999726</v>
      </c>
      <c r="I46" s="8">
        <f>23420.6524312026+9104.97999999672</f>
        <v>32525.632431199323</v>
      </c>
      <c r="J46" s="8">
        <v>29020.032617891411</v>
      </c>
      <c r="K46" s="8">
        <f>27311.8488706876+4666.18999999947</f>
        <v>31978.038870687073</v>
      </c>
      <c r="L46" s="8">
        <v>24418.019229887403</v>
      </c>
      <c r="M46" s="8">
        <v>26542.237558765795</v>
      </c>
      <c r="N46" s="8">
        <v>22815.064307809618</v>
      </c>
      <c r="O46" s="8">
        <f>171371.287224474+1511.48019048525</f>
        <v>172882.76741495926</v>
      </c>
      <c r="P46" s="8">
        <v>212675.27405266085</v>
      </c>
      <c r="Q46" s="8">
        <f>153400.75206099+5000.00000000046</f>
        <v>158400.75206099046</v>
      </c>
      <c r="R46" s="8">
        <v>306395.9544676675</v>
      </c>
      <c r="S46" s="8">
        <v>527166.41575000272</v>
      </c>
      <c r="T46" s="8">
        <v>205092.16374999846</v>
      </c>
      <c r="U46" s="8">
        <f>150581.515750004-22109.76</f>
        <v>128471.75575000401</v>
      </c>
      <c r="V46" s="8">
        <v>56300.448499997598</v>
      </c>
      <c r="W46" s="8">
        <v>27893.449847489268</v>
      </c>
      <c r="X46" s="8">
        <v>42244.65040788427</v>
      </c>
      <c r="Y46" s="8">
        <v>46188.610250548736</v>
      </c>
      <c r="Z46" s="8">
        <v>29392.75197762153</v>
      </c>
      <c r="AA46" s="8">
        <v>20149.488873473696</v>
      </c>
      <c r="AB46" s="8">
        <f>512584.623785529-32640.6100000005</f>
        <v>479944.01378552848</v>
      </c>
      <c r="AC46" s="8">
        <v>215035.21387396051</v>
      </c>
      <c r="AD46" s="8">
        <v>230082.93837532922</v>
      </c>
      <c r="AE46" s="8">
        <v>167575.06179059594</v>
      </c>
      <c r="AF46" s="8">
        <v>198744.40524689108</v>
      </c>
      <c r="AG46" s="8">
        <v>146332.87977002934</v>
      </c>
      <c r="AH46" s="8">
        <v>115584.06664618215</v>
      </c>
      <c r="AI46" s="8">
        <v>572903.55999999645</v>
      </c>
      <c r="AJ46" s="8">
        <v>692916.55699999817</v>
      </c>
    </row>
    <row r="48" spans="2:36" ht="15.75" customHeight="1" x14ac:dyDescent="0.25">
      <c r="B48" s="16" t="s">
        <v>61</v>
      </c>
      <c r="C48" s="21">
        <f>SUM(C49:C51)</f>
        <v>-310.69999999999993</v>
      </c>
      <c r="D48" s="20">
        <f t="shared" ref="D48:F48" si="80">SUM(D49:D51)</f>
        <v>-258518.05</v>
      </c>
      <c r="E48" s="20">
        <f t="shared" si="80"/>
        <v>-291795.39</v>
      </c>
      <c r="F48" s="21">
        <f t="shared" si="80"/>
        <v>416981.78999999992</v>
      </c>
      <c r="G48" s="20">
        <f>SUM(G49:G51)</f>
        <v>-54622.58</v>
      </c>
      <c r="H48" s="20">
        <f>SUM(H49:H51)</f>
        <v>-39960.770000000004</v>
      </c>
      <c r="I48" s="20">
        <f>SUM(I49:I51)</f>
        <v>-47817.119999999988</v>
      </c>
      <c r="J48" s="20">
        <f t="shared" ref="J48:L48" si="81">SUM(J49:J51)</f>
        <v>-90456.196447557639</v>
      </c>
      <c r="K48" s="20">
        <f t="shared" si="81"/>
        <v>-67480.099999999991</v>
      </c>
      <c r="L48" s="20">
        <f t="shared" si="81"/>
        <v>-76873.009999999995</v>
      </c>
      <c r="M48" s="20">
        <f t="shared" ref="M48:R48" si="82">SUM(M49:M51)</f>
        <v>-80418.289999999804</v>
      </c>
      <c r="N48" s="20">
        <f t="shared" si="82"/>
        <v>-88626.540000000008</v>
      </c>
      <c r="O48" s="20">
        <f t="shared" si="82"/>
        <v>-188808.84</v>
      </c>
      <c r="P48" s="20">
        <f t="shared" si="82"/>
        <v>-503744.74000000005</v>
      </c>
      <c r="Q48" s="20">
        <f t="shared" si="82"/>
        <v>-632799.8600000001</v>
      </c>
      <c r="R48" s="20">
        <f t="shared" si="82"/>
        <v>-590368.30000000005</v>
      </c>
      <c r="S48" s="20">
        <f t="shared" ref="S48:T48" si="83">SUM(S49:S51)</f>
        <v>-548100.54</v>
      </c>
      <c r="T48" s="20">
        <f t="shared" si="83"/>
        <v>-1331088.8999999999</v>
      </c>
      <c r="U48" s="20">
        <f t="shared" ref="U48:X48" si="84">SUM(U49:U51)</f>
        <v>-1306183.54</v>
      </c>
      <c r="V48" s="20">
        <f t="shared" si="84"/>
        <v>-1517900.49</v>
      </c>
      <c r="W48" s="20">
        <f t="shared" si="84"/>
        <v>-1564750.8467046099</v>
      </c>
      <c r="X48" s="20">
        <f t="shared" si="84"/>
        <v>-1561872.2032953901</v>
      </c>
      <c r="Y48" s="20">
        <f t="shared" ref="Y48:AA48" si="85">SUM(Y49:Y51)</f>
        <v>-1407156.0999999999</v>
      </c>
      <c r="Z48" s="20">
        <f t="shared" si="85"/>
        <v>-1179241.8199999998</v>
      </c>
      <c r="AA48" s="20">
        <f t="shared" si="85"/>
        <v>-1321751.1399999999</v>
      </c>
      <c r="AB48" s="20">
        <f t="shared" ref="AB48:AG48" si="86">SUM(AB49:AB51)</f>
        <v>-1492919.85</v>
      </c>
      <c r="AC48" s="20">
        <f t="shared" si="86"/>
        <v>-2279062.08</v>
      </c>
      <c r="AD48" s="20">
        <f t="shared" si="86"/>
        <v>-2081598.7</v>
      </c>
      <c r="AE48" s="20">
        <f t="shared" si="86"/>
        <v>-2167570.64</v>
      </c>
      <c r="AF48" s="20">
        <f t="shared" si="86"/>
        <v>-2029503.22</v>
      </c>
      <c r="AG48" s="20">
        <f t="shared" si="86"/>
        <v>-2123266.75</v>
      </c>
      <c r="AH48" s="20">
        <f t="shared" ref="AH48:AJ48" si="87">SUM(AH49:AH51)</f>
        <v>-2689419.83</v>
      </c>
      <c r="AI48" s="20">
        <f t="shared" si="87"/>
        <v>-2063694.3</v>
      </c>
      <c r="AJ48" s="20">
        <f t="shared" si="87"/>
        <v>-2410733.61</v>
      </c>
    </row>
    <row r="49" spans="2:36" ht="15.75" customHeight="1" x14ac:dyDescent="0.25">
      <c r="B49" s="17" t="s">
        <v>62</v>
      </c>
      <c r="C49" s="14">
        <v>0</v>
      </c>
      <c r="D49" s="14">
        <v>-200000</v>
      </c>
      <c r="E49" s="14">
        <v>-244391.88</v>
      </c>
      <c r="F49" s="14">
        <v>466506.14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-367312.47</v>
      </c>
      <c r="Q49" s="14">
        <v>-451829.66</v>
      </c>
      <c r="R49" s="14">
        <v>-461837.57</v>
      </c>
      <c r="S49" s="14">
        <v>-451928.3</v>
      </c>
      <c r="T49" s="14">
        <v>-1143602.9099999999</v>
      </c>
      <c r="U49" s="14">
        <v>-1096249.53</v>
      </c>
      <c r="V49" s="14">
        <v>-1246309.19</v>
      </c>
      <c r="W49" s="14">
        <v>-1298490.58</v>
      </c>
      <c r="X49" s="14">
        <v>-997060.48</v>
      </c>
      <c r="Y49" s="14">
        <v>-1033276.48</v>
      </c>
      <c r="Z49" s="14">
        <v>-902920.07</v>
      </c>
      <c r="AA49" s="14">
        <v>-997673.14</v>
      </c>
      <c r="AB49" s="14">
        <v>-1063684.17</v>
      </c>
      <c r="AC49" s="14">
        <v>-1658859.97</v>
      </c>
      <c r="AD49" s="14">
        <v>-1493728.44</v>
      </c>
      <c r="AE49" s="14">
        <v>-1513713.25</v>
      </c>
      <c r="AF49" s="14">
        <v>-1540188.75</v>
      </c>
      <c r="AG49" s="14">
        <v>-1420386.18</v>
      </c>
      <c r="AH49" s="14">
        <v>-1491983.56</v>
      </c>
      <c r="AI49" s="14">
        <v>-1329294.83</v>
      </c>
      <c r="AJ49" s="14">
        <v>-1560091.7999999998</v>
      </c>
    </row>
    <row r="50" spans="2:36" ht="15.75" customHeight="1" x14ac:dyDescent="0.25">
      <c r="B50" s="18" t="s">
        <v>274</v>
      </c>
      <c r="C50" s="8">
        <v>0</v>
      </c>
      <c r="D50" s="8">
        <v>-33232.5</v>
      </c>
      <c r="E50" s="8">
        <v>-36485.78</v>
      </c>
      <c r="F50" s="8">
        <v>-38293.770000000004</v>
      </c>
      <c r="G50" s="8">
        <v>-31718.04</v>
      </c>
      <c r="H50" s="8">
        <v>-36698.410000000003</v>
      </c>
      <c r="I50" s="8">
        <v>-33369.4</v>
      </c>
      <c r="J50" s="8">
        <v>-33184.28</v>
      </c>
      <c r="K50" s="8">
        <v>-38938.589999999997</v>
      </c>
      <c r="L50" s="8">
        <v>-35146.339999999997</v>
      </c>
      <c r="M50" s="8">
        <v>-33955.699999999997</v>
      </c>
      <c r="N50" s="8">
        <v>-36566.699999999997</v>
      </c>
      <c r="O50" s="8">
        <v>-42034.63</v>
      </c>
      <c r="P50" s="8">
        <v>-68191.77</v>
      </c>
      <c r="Q50" s="8">
        <v>-115480.79</v>
      </c>
      <c r="R50" s="8">
        <v>-75312.759999999995</v>
      </c>
      <c r="S50" s="8">
        <v>-60619.79</v>
      </c>
      <c r="T50" s="8">
        <v>-98927.19</v>
      </c>
      <c r="U50" s="8">
        <v>-91568.42</v>
      </c>
      <c r="V50" s="8">
        <v>-154892.51999999999</v>
      </c>
      <c r="W50" s="8">
        <v>-162118.9</v>
      </c>
      <c r="X50" s="8">
        <v>-126307.86</v>
      </c>
      <c r="Y50" s="8">
        <v>-130648.86</v>
      </c>
      <c r="Z50" s="8">
        <v>-115618.56</v>
      </c>
      <c r="AA50" s="8">
        <v>-118496.1</v>
      </c>
      <c r="AB50" s="8">
        <v>-135130.45000000001</v>
      </c>
      <c r="AC50" s="8">
        <v>-206603.66</v>
      </c>
      <c r="AD50" s="8">
        <v>-171188.12</v>
      </c>
      <c r="AE50" s="8">
        <v>-192443.77</v>
      </c>
      <c r="AF50" s="8">
        <v>-186416.52</v>
      </c>
      <c r="AG50" s="8">
        <v>-213320.73</v>
      </c>
      <c r="AH50" s="8">
        <v>-190899.48</v>
      </c>
      <c r="AI50" s="8">
        <v>-172134.07</v>
      </c>
      <c r="AJ50" s="8">
        <v>-190921.5</v>
      </c>
    </row>
    <row r="51" spans="2:36" ht="15.75" customHeight="1" x14ac:dyDescent="0.25">
      <c r="B51" s="18" t="s">
        <v>63</v>
      </c>
      <c r="C51" s="8">
        <v>-310.69999999999993</v>
      </c>
      <c r="D51" s="8">
        <f>-25295.25+9.70000000001164</f>
        <v>-25285.549999999988</v>
      </c>
      <c r="E51" s="8">
        <v>-10917.729999999996</v>
      </c>
      <c r="F51" s="8">
        <f>-11249.98+19.3999999999068</f>
        <v>-11230.580000000093</v>
      </c>
      <c r="G51" s="8">
        <v>-22904.54</v>
      </c>
      <c r="H51" s="8">
        <v>-3262.3600000000006</v>
      </c>
      <c r="I51" s="8">
        <v>-14447.719999999987</v>
      </c>
      <c r="J51" s="8">
        <f>-57300.61+28.6935524423606</f>
        <v>-57271.91644755764</v>
      </c>
      <c r="K51" s="8">
        <v>-28541.509999999995</v>
      </c>
      <c r="L51" s="8">
        <v>-41726.67</v>
      </c>
      <c r="M51" s="8">
        <v>-46462.589999999807</v>
      </c>
      <c r="N51" s="8">
        <v>-52059.840000000011</v>
      </c>
      <c r="O51" s="8">
        <v>-146774.21</v>
      </c>
      <c r="P51" s="8">
        <v>-68240.500000000058</v>
      </c>
      <c r="Q51" s="8">
        <v>-65489.410000000149</v>
      </c>
      <c r="R51" s="8">
        <v>-53217.970000000088</v>
      </c>
      <c r="S51" s="8">
        <v>-35552.45000000007</v>
      </c>
      <c r="T51" s="8">
        <v>-88558.800000000047</v>
      </c>
      <c r="U51" s="8">
        <v>-118365.59000000008</v>
      </c>
      <c r="V51" s="8">
        <v>-116698.78</v>
      </c>
      <c r="W51" s="8">
        <v>-104141.36670461</v>
      </c>
      <c r="X51" s="8">
        <v>-438503.86329538998</v>
      </c>
      <c r="Y51" s="8">
        <v>-243230.75999999978</v>
      </c>
      <c r="Z51" s="8">
        <v>-160703.18999999994</v>
      </c>
      <c r="AA51" s="8">
        <v>-205581.89999999991</v>
      </c>
      <c r="AB51" s="8">
        <f>-1492919.85-SUM(AB49:AB50)</f>
        <v>-294105.23000000021</v>
      </c>
      <c r="AC51" s="8">
        <f>-2279062.08-SUM(AC49:AC50)</f>
        <v>-413598.45000000019</v>
      </c>
      <c r="AD51" s="8">
        <f>-2081598.7-SUM(AD49:AD50)</f>
        <v>-416682.1399999999</v>
      </c>
      <c r="AE51" s="8">
        <f>-2167570.64-SUM(AE49:AE50)</f>
        <v>-461413.62000000011</v>
      </c>
      <c r="AF51" s="8">
        <f>-2029503.22-SUM(AF49:AF50)</f>
        <v>-302897.94999999995</v>
      </c>
      <c r="AG51" s="8">
        <f>-2123266.75-SUM(AG49:AG50)</f>
        <v>-489559.84000000008</v>
      </c>
      <c r="AH51" s="8">
        <f>-2689419.83-SUM(AH49:AH50)</f>
        <v>-1006536.79</v>
      </c>
      <c r="AI51" s="8">
        <f>-2063694.3-SUM(AI49:AI50)</f>
        <v>-562265.39999999991</v>
      </c>
      <c r="AJ51" s="8">
        <f>-2410733.61-SUM(AJ49:AJ50)</f>
        <v>-659720.31000000006</v>
      </c>
    </row>
    <row r="52" spans="2:36" ht="60" x14ac:dyDescent="0.25">
      <c r="B52" s="65" t="s">
        <v>237</v>
      </c>
    </row>
    <row r="53" spans="2:36" ht="15.75" customHeight="1" x14ac:dyDescent="0.25">
      <c r="B53" s="23" t="s">
        <v>64</v>
      </c>
      <c r="C53" s="22">
        <f t="shared" ref="C53:AG53" si="88">SUM(C32,C34,C43,C49:C51)</f>
        <v>1186465.8280445875</v>
      </c>
      <c r="D53" s="20">
        <f t="shared" si="88"/>
        <v>491028.4293928431</v>
      </c>
      <c r="E53" s="20">
        <f t="shared" si="88"/>
        <v>1855814.6940636791</v>
      </c>
      <c r="F53" s="21">
        <f t="shared" si="88"/>
        <v>2584750.8780918885</v>
      </c>
      <c r="G53" s="20">
        <f t="shared" si="88"/>
        <v>2139743.6806244161</v>
      </c>
      <c r="H53" s="20">
        <f t="shared" si="88"/>
        <v>2394050.1755829961</v>
      </c>
      <c r="I53" s="20">
        <f t="shared" si="88"/>
        <v>2361528.7461590338</v>
      </c>
      <c r="J53" s="20">
        <f t="shared" si="88"/>
        <v>2474952.4526178911</v>
      </c>
      <c r="K53" s="20">
        <f t="shared" si="88"/>
        <v>2496249.0588706876</v>
      </c>
      <c r="L53" s="20">
        <f t="shared" si="88"/>
        <v>2483962.3192298878</v>
      </c>
      <c r="M53" s="20">
        <f t="shared" si="88"/>
        <v>2482541.2575587658</v>
      </c>
      <c r="N53" s="20">
        <f t="shared" si="88"/>
        <v>2492655.3943078099</v>
      </c>
      <c r="O53" s="20">
        <f t="shared" si="88"/>
        <v>3800778.2574149603</v>
      </c>
      <c r="P53" s="20">
        <f t="shared" si="88"/>
        <v>4454552.894052661</v>
      </c>
      <c r="Q53" s="20">
        <f t="shared" si="88"/>
        <v>3842901.3120609904</v>
      </c>
      <c r="R53" s="20">
        <f t="shared" si="88"/>
        <v>4083338.3244676669</v>
      </c>
      <c r="S53" s="20">
        <f t="shared" si="88"/>
        <v>9806256.8357500024</v>
      </c>
      <c r="T53" s="20">
        <f t="shared" si="88"/>
        <v>9931250.3851681426</v>
      </c>
      <c r="U53" s="20">
        <f t="shared" si="88"/>
        <v>9762801.0357500054</v>
      </c>
      <c r="V53" s="20">
        <f t="shared" si="88"/>
        <v>10203087.098499998</v>
      </c>
      <c r="W53" s="20">
        <f t="shared" si="88"/>
        <v>8012175.114692484</v>
      </c>
      <c r="X53" s="20">
        <f t="shared" si="88"/>
        <v>11530608.737112494</v>
      </c>
      <c r="Y53" s="20">
        <f t="shared" si="88"/>
        <v>8302873.6902505495</v>
      </c>
      <c r="Z53" s="20">
        <f t="shared" si="88"/>
        <v>8418959.7019776199</v>
      </c>
      <c r="AA53" s="20">
        <f t="shared" si="88"/>
        <v>7331563.3438734766</v>
      </c>
      <c r="AB53" s="20">
        <f t="shared" si="88"/>
        <v>13389155.869785527</v>
      </c>
      <c r="AC53" s="20">
        <f t="shared" si="88"/>
        <v>10938703.777873959</v>
      </c>
      <c r="AD53" s="20">
        <f t="shared" si="88"/>
        <v>11079829.808375331</v>
      </c>
      <c r="AE53" s="20">
        <f t="shared" si="88"/>
        <v>11490564.092683394</v>
      </c>
      <c r="AF53" s="20">
        <f t="shared" si="88"/>
        <v>10907421.860413561</v>
      </c>
      <c r="AG53" s="20">
        <f t="shared" si="88"/>
        <v>14900522.429770026</v>
      </c>
      <c r="AH53" s="20">
        <f t="shared" ref="AH53:AJ53" si="89">SUM(AH32,AH34,AH43,AH49:AH51)</f>
        <v>13147633.860026456</v>
      </c>
      <c r="AI53" s="20">
        <f t="shared" si="89"/>
        <v>13825898.913332505</v>
      </c>
      <c r="AJ53" s="20">
        <f t="shared" si="89"/>
        <v>16148787.417987855</v>
      </c>
    </row>
    <row r="54" spans="2:36" ht="15.75" customHeight="1" x14ac:dyDescent="0.25">
      <c r="B54" s="18" t="s">
        <v>65</v>
      </c>
      <c r="C54" s="14">
        <v>0</v>
      </c>
      <c r="D54" s="8">
        <v>0</v>
      </c>
      <c r="E54" s="8">
        <v>0</v>
      </c>
      <c r="F54" s="14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</row>
    <row r="56" spans="2:36" ht="15.75" customHeight="1" x14ac:dyDescent="0.25">
      <c r="B56" s="16" t="s">
        <v>66</v>
      </c>
      <c r="C56" s="21">
        <f t="shared" ref="C56:H56" si="90">SUM(C53:C54)</f>
        <v>1186465.8280445875</v>
      </c>
      <c r="D56" s="20">
        <f t="shared" si="90"/>
        <v>491028.4293928431</v>
      </c>
      <c r="E56" s="20">
        <f t="shared" si="90"/>
        <v>1855814.6940636791</v>
      </c>
      <c r="F56" s="21">
        <f t="shared" si="90"/>
        <v>2584750.8780918885</v>
      </c>
      <c r="G56" s="20">
        <f t="shared" si="90"/>
        <v>2139743.6806244161</v>
      </c>
      <c r="H56" s="20">
        <f t="shared" si="90"/>
        <v>2394050.1755829961</v>
      </c>
      <c r="I56" s="20">
        <f t="shared" ref="I56:L56" si="91">SUM(I53:I54)</f>
        <v>2361528.7461590338</v>
      </c>
      <c r="J56" s="20">
        <f t="shared" si="91"/>
        <v>2474952.4526178911</v>
      </c>
      <c r="K56" s="20">
        <f t="shared" si="91"/>
        <v>2496249.0588706876</v>
      </c>
      <c r="L56" s="20">
        <f t="shared" si="91"/>
        <v>2483962.3192298878</v>
      </c>
      <c r="M56" s="20">
        <f t="shared" ref="M56:R56" si="92">SUM(M53:M54)</f>
        <v>2482541.2575587658</v>
      </c>
      <c r="N56" s="20">
        <f t="shared" si="92"/>
        <v>2492655.3943078099</v>
      </c>
      <c r="O56" s="20">
        <f t="shared" si="92"/>
        <v>3800778.2574149603</v>
      </c>
      <c r="P56" s="20">
        <f t="shared" si="92"/>
        <v>4454552.894052661</v>
      </c>
      <c r="Q56" s="20">
        <f t="shared" si="92"/>
        <v>3842901.3120609904</v>
      </c>
      <c r="R56" s="20">
        <f t="shared" si="92"/>
        <v>4083338.3244676669</v>
      </c>
      <c r="S56" s="20">
        <f t="shared" ref="S56:T56" si="93">SUM(S53:S54)</f>
        <v>9806256.8357500024</v>
      </c>
      <c r="T56" s="20">
        <f t="shared" si="93"/>
        <v>9931250.3851681426</v>
      </c>
      <c r="U56" s="20">
        <f t="shared" ref="U56:X56" si="94">SUM(U53:U54)</f>
        <v>9762801.0357500054</v>
      </c>
      <c r="V56" s="20">
        <f t="shared" si="94"/>
        <v>10203087.098499998</v>
      </c>
      <c r="W56" s="20">
        <f t="shared" si="94"/>
        <v>8012175.114692484</v>
      </c>
      <c r="X56" s="20">
        <f t="shared" si="94"/>
        <v>11530608.737112494</v>
      </c>
      <c r="Y56" s="20">
        <f t="shared" ref="Y56:AA56" si="95">SUM(Y53:Y54)</f>
        <v>8302873.6902505495</v>
      </c>
      <c r="Z56" s="20">
        <f t="shared" si="95"/>
        <v>8418959.7019776199</v>
      </c>
      <c r="AA56" s="20">
        <f t="shared" si="95"/>
        <v>7331563.3438734766</v>
      </c>
      <c r="AB56" s="20">
        <f t="shared" ref="AB56:AD56" si="96">SUM(AB53:AB54)</f>
        <v>13389155.869785527</v>
      </c>
      <c r="AC56" s="20">
        <f t="shared" si="96"/>
        <v>10938703.777873959</v>
      </c>
      <c r="AD56" s="20">
        <f t="shared" si="96"/>
        <v>11079829.808375331</v>
      </c>
      <c r="AE56" s="20">
        <f t="shared" ref="AE56:AG56" si="97">SUM(AE53:AE54)</f>
        <v>11490564.092683394</v>
      </c>
      <c r="AF56" s="20">
        <f t="shared" si="97"/>
        <v>10907421.860413561</v>
      </c>
      <c r="AG56" s="20">
        <f t="shared" si="97"/>
        <v>14900522.429770026</v>
      </c>
      <c r="AH56" s="20">
        <f t="shared" ref="AH56:AJ56" si="98">SUM(AH53:AH54)</f>
        <v>13147633.860026456</v>
      </c>
      <c r="AI56" s="20">
        <f t="shared" si="98"/>
        <v>13825898.913332505</v>
      </c>
      <c r="AJ56" s="20">
        <f t="shared" si="98"/>
        <v>16148787.417987855</v>
      </c>
    </row>
    <row r="57" spans="2:36" ht="15.75" customHeight="1" x14ac:dyDescent="0.25">
      <c r="B57" s="17" t="s">
        <v>67</v>
      </c>
      <c r="C57" s="24">
        <f t="shared" ref="C57:H57" si="99">C56/C58</f>
        <v>0.32406916625775711</v>
      </c>
      <c r="D57" s="24">
        <f t="shared" si="99"/>
        <v>0.13411863195794849</v>
      </c>
      <c r="E57" s="24">
        <f t="shared" si="99"/>
        <v>0.5068939251502067</v>
      </c>
      <c r="F57" s="24">
        <f t="shared" si="99"/>
        <v>0.70599425811340388</v>
      </c>
      <c r="G57" s="24">
        <f t="shared" si="99"/>
        <v>0.58444578359925603</v>
      </c>
      <c r="H57" s="24">
        <f t="shared" si="99"/>
        <v>0.65390660737281892</v>
      </c>
      <c r="I57" s="24">
        <f t="shared" ref="I57:L57" si="100">I56/I58</f>
        <v>0.64502376197616429</v>
      </c>
      <c r="J57" s="24">
        <f t="shared" si="100"/>
        <v>0.67600411144528116</v>
      </c>
      <c r="K57" s="24">
        <f t="shared" si="100"/>
        <v>0.68182102860322236</v>
      </c>
      <c r="L57" s="24">
        <f t="shared" si="100"/>
        <v>0.67846505038850846</v>
      </c>
      <c r="M57" s="24">
        <f t="shared" ref="M57:R57" si="101">M56/M58</f>
        <v>0.67807690413087851</v>
      </c>
      <c r="N57" s="24">
        <f t="shared" si="101"/>
        <v>0.68083946145550167</v>
      </c>
      <c r="O57" s="24">
        <f t="shared" si="101"/>
        <v>0.56373101912005963</v>
      </c>
      <c r="P57" s="24">
        <f t="shared" si="101"/>
        <v>0.66069880235434997</v>
      </c>
      <c r="Q57" s="24">
        <f t="shared" si="101"/>
        <v>0.56997870601884948</v>
      </c>
      <c r="R57" s="24">
        <f t="shared" si="101"/>
        <v>0.60564029763466365</v>
      </c>
      <c r="S57" s="24">
        <f t="shared" ref="S57:T57" si="102">S56/S58</f>
        <v>0.64221305536286921</v>
      </c>
      <c r="T57" s="24">
        <f t="shared" si="102"/>
        <v>0.6503988994231461</v>
      </c>
      <c r="U57" s="24">
        <f t="shared" ref="U57:X57" si="103">U56/U58</f>
        <v>0.63936712928131956</v>
      </c>
      <c r="V57" s="24">
        <f t="shared" si="103"/>
        <v>0.66820152168286573</v>
      </c>
      <c r="W57" s="24">
        <f t="shared" si="103"/>
        <v>0.52471840649230428</v>
      </c>
      <c r="X57" s="24">
        <f t="shared" si="103"/>
        <v>0.75514108913184019</v>
      </c>
      <c r="Y57" s="24">
        <f t="shared" ref="Y57:AA57" si="104">Y56/Y58</f>
        <v>0.54375629460045316</v>
      </c>
      <c r="Z57" s="24">
        <f t="shared" si="104"/>
        <v>0.55135878284085316</v>
      </c>
      <c r="AA57" s="24">
        <f t="shared" si="104"/>
        <v>0.48014505172760852</v>
      </c>
      <c r="AB57" s="24">
        <f t="shared" ref="AB57:AD57" si="105">AB56/AB58</f>
        <v>0.64502896621764683</v>
      </c>
      <c r="AC57" s="24">
        <f t="shared" si="105"/>
        <v>0.52697726863613925</v>
      </c>
      <c r="AD57" s="24">
        <f t="shared" si="105"/>
        <v>0.53377608242589591</v>
      </c>
      <c r="AE57" s="24">
        <f t="shared" ref="AE57:AG57" si="106">AE56/AE58</f>
        <v>0.55356340235658985</v>
      </c>
      <c r="AF57" s="24">
        <f t="shared" si="106"/>
        <v>0.52547024735137549</v>
      </c>
      <c r="AG57" s="24">
        <f t="shared" si="106"/>
        <v>0.71783977066594384</v>
      </c>
      <c r="AH57" s="24">
        <f t="shared" ref="AH57:AJ57" si="107">AH56/AH58</f>
        <v>0.6333935282715355</v>
      </c>
      <c r="AI57" s="24">
        <f t="shared" si="107"/>
        <v>0.5101607982555556</v>
      </c>
      <c r="AJ57" s="24">
        <f t="shared" si="107"/>
        <v>0.59587288549285411</v>
      </c>
    </row>
    <row r="58" spans="2:36" ht="15.75" customHeight="1" x14ac:dyDescent="0.25">
      <c r="B58" s="18" t="s">
        <v>68</v>
      </c>
      <c r="C58" s="8">
        <v>3661150</v>
      </c>
      <c r="D58" s="8">
        <v>3661150</v>
      </c>
      <c r="E58" s="8">
        <v>3661150</v>
      </c>
      <c r="F58" s="8">
        <v>3661150</v>
      </c>
      <c r="G58" s="8">
        <v>3661150</v>
      </c>
      <c r="H58" s="8">
        <v>3661150</v>
      </c>
      <c r="I58" s="8">
        <v>3661150</v>
      </c>
      <c r="J58" s="8">
        <v>3661150</v>
      </c>
      <c r="K58" s="8">
        <v>3661150</v>
      </c>
      <c r="L58" s="8">
        <v>3661150</v>
      </c>
      <c r="M58" s="8">
        <v>3661150</v>
      </c>
      <c r="N58" s="8">
        <v>3661150</v>
      </c>
      <c r="O58" s="8">
        <v>6742184</v>
      </c>
      <c r="P58" s="8">
        <v>6742184</v>
      </c>
      <c r="Q58" s="8">
        <v>6742184</v>
      </c>
      <c r="R58" s="8">
        <v>6742184</v>
      </c>
      <c r="S58" s="8">
        <v>15269476</v>
      </c>
      <c r="T58" s="8">
        <v>15269476</v>
      </c>
      <c r="U58" s="8">
        <v>15269476</v>
      </c>
      <c r="V58" s="8">
        <v>15269476</v>
      </c>
      <c r="W58" s="8">
        <v>15269476</v>
      </c>
      <c r="X58" s="8">
        <v>15269476</v>
      </c>
      <c r="Y58" s="8">
        <v>15269476</v>
      </c>
      <c r="Z58" s="8">
        <v>15269476</v>
      </c>
      <c r="AA58" s="8">
        <v>15269476</v>
      </c>
      <c r="AB58" s="8">
        <v>20757449</v>
      </c>
      <c r="AC58" s="8">
        <v>20757449</v>
      </c>
      <c r="AD58" s="8">
        <v>20757449</v>
      </c>
      <c r="AE58" s="8">
        <v>20757449</v>
      </c>
      <c r="AF58" s="8">
        <v>20757449</v>
      </c>
      <c r="AG58" s="8">
        <v>20757449</v>
      </c>
      <c r="AH58" s="8">
        <v>20757449</v>
      </c>
      <c r="AI58" s="8">
        <v>27101061</v>
      </c>
      <c r="AJ58" s="8">
        <v>27101061</v>
      </c>
    </row>
    <row r="59" spans="2:36" ht="15.75" customHeight="1" x14ac:dyDescent="0.25">
      <c r="B59" s="18" t="s">
        <v>69</v>
      </c>
      <c r="C59" s="25">
        <v>0.32</v>
      </c>
      <c r="D59" s="25">
        <v>0.13411600000000001</v>
      </c>
      <c r="E59" s="25">
        <v>0.5</v>
      </c>
      <c r="F59" s="25">
        <v>0.7</v>
      </c>
      <c r="G59" s="25">
        <v>0.6</v>
      </c>
      <c r="H59" s="25">
        <v>0.64500000000000002</v>
      </c>
      <c r="I59" s="25">
        <v>0.64800000000000002</v>
      </c>
      <c r="J59" s="25">
        <v>0.67</v>
      </c>
      <c r="K59" s="25">
        <v>0.67</v>
      </c>
      <c r="L59" s="25">
        <v>0.68</v>
      </c>
      <c r="M59" s="25">
        <v>0.68</v>
      </c>
      <c r="N59" s="25">
        <v>0.61</v>
      </c>
      <c r="O59" s="25">
        <v>0.61</v>
      </c>
      <c r="P59" s="25">
        <v>0.61</v>
      </c>
      <c r="Q59" s="25">
        <v>0.61</v>
      </c>
      <c r="R59" s="25">
        <v>0.61</v>
      </c>
      <c r="S59" s="25">
        <v>0.64</v>
      </c>
      <c r="T59" s="25">
        <v>0.64</v>
      </c>
      <c r="U59" s="25">
        <v>0.64</v>
      </c>
      <c r="V59" s="25">
        <v>0.64</v>
      </c>
      <c r="W59" s="25">
        <v>0.64</v>
      </c>
      <c r="X59" s="25">
        <v>0.57999999999999996</v>
      </c>
      <c r="Y59" s="25">
        <v>0.54</v>
      </c>
      <c r="Z59" s="25">
        <v>0.54</v>
      </c>
      <c r="AA59" s="25">
        <v>0.56999999999999995</v>
      </c>
      <c r="AB59" s="25">
        <v>0.57999999999999996</v>
      </c>
      <c r="AC59" s="25">
        <v>0.57999999999999996</v>
      </c>
      <c r="AD59" s="25">
        <v>0.57999999999999996</v>
      </c>
      <c r="AE59" s="25">
        <v>0.57999999999999996</v>
      </c>
      <c r="AF59" s="25">
        <v>0.57999999999999996</v>
      </c>
      <c r="AG59" s="25">
        <v>0.6</v>
      </c>
      <c r="AH59" s="25">
        <v>0.57999999999999996</v>
      </c>
      <c r="AI59" s="25">
        <v>0.57999999999999996</v>
      </c>
      <c r="AJ59" s="25">
        <v>0.59</v>
      </c>
    </row>
    <row r="60" spans="2:36" ht="15.75" customHeight="1" x14ac:dyDescent="0.25">
      <c r="B60" s="18" t="s">
        <v>70</v>
      </c>
      <c r="C60" s="8">
        <f t="shared" ref="C60:H60" si="108">C59*C58</f>
        <v>1171568</v>
      </c>
      <c r="D60" s="8">
        <f t="shared" si="108"/>
        <v>491018.79340000002</v>
      </c>
      <c r="E60" s="8">
        <f t="shared" si="108"/>
        <v>1830575</v>
      </c>
      <c r="F60" s="8">
        <f t="shared" si="108"/>
        <v>2562805</v>
      </c>
      <c r="G60" s="8">
        <f t="shared" si="108"/>
        <v>2196690</v>
      </c>
      <c r="H60" s="8">
        <f t="shared" si="108"/>
        <v>2361441.75</v>
      </c>
      <c r="I60" s="8">
        <f t="shared" ref="I60:L60" si="109">I59*I58</f>
        <v>2372425.2000000002</v>
      </c>
      <c r="J60" s="8">
        <f t="shared" si="109"/>
        <v>2452970.5</v>
      </c>
      <c r="K60" s="8">
        <f t="shared" si="109"/>
        <v>2452970.5</v>
      </c>
      <c r="L60" s="8">
        <f t="shared" si="109"/>
        <v>2489582</v>
      </c>
      <c r="M60" s="8">
        <f t="shared" ref="M60:R60" si="110">M59*M58</f>
        <v>2489582</v>
      </c>
      <c r="N60" s="8">
        <f t="shared" si="110"/>
        <v>2233301.5</v>
      </c>
      <c r="O60" s="8">
        <f t="shared" si="110"/>
        <v>4112732.2399999998</v>
      </c>
      <c r="P60" s="8">
        <f t="shared" si="110"/>
        <v>4112732.2399999998</v>
      </c>
      <c r="Q60" s="8">
        <f t="shared" si="110"/>
        <v>4112732.2399999998</v>
      </c>
      <c r="R60" s="8">
        <f t="shared" si="110"/>
        <v>4112732.2399999998</v>
      </c>
      <c r="S60" s="8">
        <f t="shared" ref="S60:T60" si="111">S59*S58</f>
        <v>9772464.6400000006</v>
      </c>
      <c r="T60" s="8">
        <f t="shared" si="111"/>
        <v>9772464.6400000006</v>
      </c>
      <c r="U60" s="8">
        <f t="shared" ref="U60:X60" si="112">U59*U58</f>
        <v>9772464.6400000006</v>
      </c>
      <c r="V60" s="8">
        <f t="shared" si="112"/>
        <v>9772464.6400000006</v>
      </c>
      <c r="W60" s="8">
        <f t="shared" si="112"/>
        <v>9772464.6400000006</v>
      </c>
      <c r="X60" s="8">
        <f t="shared" si="112"/>
        <v>8856296.0800000001</v>
      </c>
      <c r="Y60" s="8">
        <f t="shared" ref="Y60:AA60" si="113">Y59*Y58</f>
        <v>8245517.040000001</v>
      </c>
      <c r="Z60" s="8">
        <f t="shared" si="113"/>
        <v>8245517.040000001</v>
      </c>
      <c r="AA60" s="8">
        <f t="shared" si="113"/>
        <v>8703601.3199999984</v>
      </c>
      <c r="AB60" s="8">
        <f t="shared" ref="AB60:AD60" si="114">AB59*AB58</f>
        <v>12039320.42</v>
      </c>
      <c r="AC60" s="8">
        <f t="shared" si="114"/>
        <v>12039320.42</v>
      </c>
      <c r="AD60" s="8">
        <f t="shared" si="114"/>
        <v>12039320.42</v>
      </c>
      <c r="AE60" s="8">
        <f t="shared" ref="AE60:AG60" si="115">AE59*AE58</f>
        <v>12039320.42</v>
      </c>
      <c r="AF60" s="8">
        <f t="shared" si="115"/>
        <v>12039320.42</v>
      </c>
      <c r="AG60" s="8">
        <f t="shared" si="115"/>
        <v>12454469.4</v>
      </c>
      <c r="AH60" s="8">
        <f t="shared" ref="AH60:AJ60" si="116">AH59*AH58</f>
        <v>12039320.42</v>
      </c>
      <c r="AI60" s="8">
        <f t="shared" si="116"/>
        <v>15718615.379999999</v>
      </c>
      <c r="AJ60" s="8">
        <f t="shared" si="116"/>
        <v>15989625.989999998</v>
      </c>
    </row>
    <row r="62" spans="2:36" ht="15.75" customHeight="1" x14ac:dyDescent="0.25">
      <c r="B62" s="16" t="s">
        <v>71</v>
      </c>
      <c r="C62" s="21">
        <f t="shared" ref="C62:AG62" si="117">C56-C16-C38-C10-C39+C63</f>
        <v>1186465.8280445875</v>
      </c>
      <c r="D62" s="20">
        <f t="shared" si="117"/>
        <v>491028.4293928431</v>
      </c>
      <c r="E62" s="20">
        <f t="shared" si="117"/>
        <v>1855814.6940636791</v>
      </c>
      <c r="F62" s="21">
        <f t="shared" si="117"/>
        <v>2584750.8780918885</v>
      </c>
      <c r="G62" s="20">
        <f t="shared" si="117"/>
        <v>2139743.6806244161</v>
      </c>
      <c r="H62" s="20">
        <f t="shared" si="117"/>
        <v>2394050.1755829961</v>
      </c>
      <c r="I62" s="20">
        <f t="shared" si="117"/>
        <v>2361528.7461590338</v>
      </c>
      <c r="J62" s="20">
        <f t="shared" si="117"/>
        <v>2474952.4526178911</v>
      </c>
      <c r="K62" s="20">
        <f t="shared" si="117"/>
        <v>2496249.0588706876</v>
      </c>
      <c r="L62" s="20">
        <f t="shared" si="117"/>
        <v>2483962.3192298878</v>
      </c>
      <c r="M62" s="20">
        <f t="shared" si="117"/>
        <v>2482541.2575587658</v>
      </c>
      <c r="N62" s="20">
        <f t="shared" si="117"/>
        <v>2492655.3943078099</v>
      </c>
      <c r="O62" s="20">
        <f t="shared" si="117"/>
        <v>3800778.2574149603</v>
      </c>
      <c r="P62" s="20">
        <f t="shared" si="117"/>
        <v>4454552.894052661</v>
      </c>
      <c r="Q62" s="20">
        <f t="shared" si="117"/>
        <v>3842901.3120609904</v>
      </c>
      <c r="R62" s="20">
        <f t="shared" si="117"/>
        <v>4083338.3244676669</v>
      </c>
      <c r="S62" s="20">
        <f t="shared" si="117"/>
        <v>9806256.8357500024</v>
      </c>
      <c r="T62" s="20">
        <f t="shared" si="117"/>
        <v>9931250.3851681426</v>
      </c>
      <c r="U62" s="20">
        <f t="shared" si="117"/>
        <v>9762801.0357500054</v>
      </c>
      <c r="V62" s="20">
        <f t="shared" si="117"/>
        <v>10203087.098499998</v>
      </c>
      <c r="W62" s="20">
        <f t="shared" si="117"/>
        <v>8012175.114692484</v>
      </c>
      <c r="X62" s="20">
        <f t="shared" si="117"/>
        <v>11530608.737112494</v>
      </c>
      <c r="Y62" s="20">
        <f t="shared" si="117"/>
        <v>8302873.6902505495</v>
      </c>
      <c r="Z62" s="20">
        <f t="shared" si="117"/>
        <v>8418959.7019776199</v>
      </c>
      <c r="AA62" s="20">
        <f t="shared" si="117"/>
        <v>7331563.3438734766</v>
      </c>
      <c r="AB62" s="20">
        <f>AB56-AB16-AB38-AB10-AB39+AB63</f>
        <v>13389155.869785527</v>
      </c>
      <c r="AC62" s="20">
        <f t="shared" si="117"/>
        <v>10938703.777873959</v>
      </c>
      <c r="AD62" s="20">
        <f t="shared" si="117"/>
        <v>11079829.808375331</v>
      </c>
      <c r="AE62" s="20">
        <f t="shared" si="117"/>
        <v>11490564.092683394</v>
      </c>
      <c r="AF62" s="20">
        <f t="shared" si="117"/>
        <v>10907421.860413561</v>
      </c>
      <c r="AG62" s="20">
        <f t="shared" si="117"/>
        <v>14900522.429770026</v>
      </c>
      <c r="AH62" s="20">
        <f t="shared" ref="AH62:AJ62" si="118">AH56-AH16-AH38-AH10-AH39+AH63</f>
        <v>13147633.860026456</v>
      </c>
      <c r="AI62" s="20">
        <f t="shared" si="118"/>
        <v>13825898.913332505</v>
      </c>
      <c r="AJ62" s="20">
        <f t="shared" si="118"/>
        <v>16148787.417987855</v>
      </c>
    </row>
    <row r="63" spans="2:36" ht="15.75" customHeight="1" x14ac:dyDescent="0.25">
      <c r="B63" s="17" t="s">
        <v>72</v>
      </c>
      <c r="C63" s="24">
        <f t="shared" ref="C63:AD63" si="119">-SUM(C7,C11)</f>
        <v>0</v>
      </c>
      <c r="D63" s="24">
        <f t="shared" si="119"/>
        <v>0</v>
      </c>
      <c r="E63" s="24">
        <f t="shared" si="119"/>
        <v>0</v>
      </c>
      <c r="F63" s="24">
        <f t="shared" si="119"/>
        <v>0</v>
      </c>
      <c r="G63" s="24">
        <f t="shared" si="119"/>
        <v>0</v>
      </c>
      <c r="H63" s="24">
        <f t="shared" si="119"/>
        <v>0</v>
      </c>
      <c r="I63" s="24">
        <f t="shared" si="119"/>
        <v>0</v>
      </c>
      <c r="J63" s="24">
        <f t="shared" si="119"/>
        <v>0</v>
      </c>
      <c r="K63" s="24">
        <f t="shared" si="119"/>
        <v>0</v>
      </c>
      <c r="L63" s="24">
        <f t="shared" si="119"/>
        <v>0</v>
      </c>
      <c r="M63" s="24">
        <f t="shared" si="119"/>
        <v>0</v>
      </c>
      <c r="N63" s="24">
        <f t="shared" si="119"/>
        <v>0</v>
      </c>
      <c r="O63" s="24">
        <f t="shared" si="119"/>
        <v>0</v>
      </c>
      <c r="P63" s="24">
        <f t="shared" si="119"/>
        <v>0</v>
      </c>
      <c r="Q63" s="24">
        <f t="shared" si="119"/>
        <v>0</v>
      </c>
      <c r="R63" s="24">
        <f t="shared" si="119"/>
        <v>0</v>
      </c>
      <c r="S63" s="24">
        <f t="shared" si="119"/>
        <v>0</v>
      </c>
      <c r="T63" s="24">
        <f t="shared" si="119"/>
        <v>0</v>
      </c>
      <c r="U63" s="24">
        <f t="shared" si="119"/>
        <v>0</v>
      </c>
      <c r="V63" s="24">
        <f t="shared" si="119"/>
        <v>0</v>
      </c>
      <c r="W63" s="24">
        <f t="shared" si="119"/>
        <v>0</v>
      </c>
      <c r="X63" s="24">
        <f t="shared" si="119"/>
        <v>0</v>
      </c>
      <c r="Y63" s="24">
        <f t="shared" si="119"/>
        <v>0</v>
      </c>
      <c r="Z63" s="24">
        <f t="shared" si="119"/>
        <v>0</v>
      </c>
      <c r="AA63" s="24">
        <f t="shared" si="119"/>
        <v>0</v>
      </c>
      <c r="AB63" s="24">
        <f t="shared" si="119"/>
        <v>0</v>
      </c>
      <c r="AC63" s="24">
        <f t="shared" si="119"/>
        <v>0</v>
      </c>
      <c r="AD63" s="24">
        <f t="shared" si="119"/>
        <v>0</v>
      </c>
      <c r="AE63" s="24">
        <f t="shared" ref="AE63:AG63" si="120">-SUM(AE7,AE11)</f>
        <v>0</v>
      </c>
      <c r="AF63" s="24">
        <f t="shared" si="120"/>
        <v>0</v>
      </c>
      <c r="AG63" s="24">
        <f t="shared" si="120"/>
        <v>0</v>
      </c>
      <c r="AH63" s="24">
        <f t="shared" ref="AH63:AJ63" si="121">-SUM(AH7,AH11)</f>
        <v>0</v>
      </c>
      <c r="AI63" s="24">
        <f t="shared" si="121"/>
        <v>0</v>
      </c>
      <c r="AJ63" s="24">
        <f t="shared" si="121"/>
        <v>0</v>
      </c>
    </row>
    <row r="64" spans="2:36" ht="15.75" customHeight="1" x14ac:dyDescent="0.25">
      <c r="B64" s="18" t="s">
        <v>73</v>
      </c>
      <c r="C64" s="26">
        <f>IFERROR(C62/SUM(C6,C7),0)</f>
        <v>0</v>
      </c>
      <c r="D64" s="26">
        <f t="shared" ref="D64:AD64" si="122">D62/SUM(D6,D7)</f>
        <v>1.6243411772213832</v>
      </c>
      <c r="E64" s="26">
        <f t="shared" si="122"/>
        <v>1.0979764232662161</v>
      </c>
      <c r="F64" s="26">
        <f t="shared" si="122"/>
        <v>1.4399671388952573</v>
      </c>
      <c r="G64" s="26">
        <f t="shared" si="122"/>
        <v>1.1920377916702065</v>
      </c>
      <c r="H64" s="26">
        <f t="shared" si="122"/>
        <v>1.0709432591721397</v>
      </c>
      <c r="I64" s="26">
        <f t="shared" si="122"/>
        <v>1.0411348966207981</v>
      </c>
      <c r="J64" s="26">
        <f t="shared" si="122"/>
        <v>0.97577809511079061</v>
      </c>
      <c r="K64" s="26">
        <f t="shared" si="122"/>
        <v>0.98597727049516914</v>
      </c>
      <c r="L64" s="26">
        <f t="shared" si="122"/>
        <v>0.9793192584819127</v>
      </c>
      <c r="M64" s="26">
        <f t="shared" si="122"/>
        <v>0.97875899512717246</v>
      </c>
      <c r="N64" s="26">
        <f t="shared" si="122"/>
        <v>0.97427698733804979</v>
      </c>
      <c r="O64" s="26">
        <f t="shared" si="122"/>
        <v>0.99582727106738167</v>
      </c>
      <c r="P64" s="26">
        <f t="shared" si="122"/>
        <v>0.93866569148006573</v>
      </c>
      <c r="Q64" s="26">
        <f t="shared" si="122"/>
        <v>0.8901167253172042</v>
      </c>
      <c r="R64" s="26">
        <f t="shared" si="122"/>
        <v>0.93497775473519662</v>
      </c>
      <c r="S64" s="26">
        <f t="shared" si="122"/>
        <v>0.99786977536762989</v>
      </c>
      <c r="T64" s="26">
        <f t="shared" si="122"/>
        <v>0.89816663009467157</v>
      </c>
      <c r="U64" s="26">
        <f t="shared" si="122"/>
        <v>0.89235314618003481</v>
      </c>
      <c r="V64" s="26">
        <f t="shared" si="122"/>
        <v>0.87469873611200855</v>
      </c>
      <c r="W64" s="26">
        <f t="shared" si="122"/>
        <v>0.83905621904645478</v>
      </c>
      <c r="X64" s="26">
        <f t="shared" si="122"/>
        <v>0.88355555262612762</v>
      </c>
      <c r="Y64" s="26">
        <f t="shared" si="122"/>
        <v>0.85916909597334146</v>
      </c>
      <c r="Z64" s="26">
        <f t="shared" si="122"/>
        <v>0.87983362447085667</v>
      </c>
      <c r="AA64" s="26">
        <f t="shared" si="122"/>
        <v>0.84923239022069397</v>
      </c>
      <c r="AB64" s="26">
        <f t="shared" si="122"/>
        <v>0.92966486788949021</v>
      </c>
      <c r="AC64" s="26">
        <f t="shared" si="122"/>
        <v>0.85182948191656749</v>
      </c>
      <c r="AD64" s="26">
        <f t="shared" si="122"/>
        <v>0.8683510038560871</v>
      </c>
      <c r="AE64" s="26">
        <f t="shared" ref="AE64:AG64" si="123">AE62/SUM(AE6,AE7)</f>
        <v>0.92157054997563137</v>
      </c>
      <c r="AF64" s="26">
        <f t="shared" si="123"/>
        <v>0.86888000865003201</v>
      </c>
      <c r="AG64" s="26">
        <f t="shared" si="123"/>
        <v>0.89537312831844929</v>
      </c>
      <c r="AH64" s="26">
        <f t="shared" ref="AH64:AJ64" si="124">AH62/SUM(AH6,AH7)</f>
        <v>0.93110817804096002</v>
      </c>
      <c r="AI64" s="26">
        <f t="shared" si="124"/>
        <v>0.94779494327271907</v>
      </c>
      <c r="AJ64" s="26">
        <f t="shared" si="124"/>
        <v>0.91186125760224512</v>
      </c>
    </row>
    <row r="65" spans="1:38" ht="15.75" customHeight="1" x14ac:dyDescent="0.25">
      <c r="B65" s="18" t="s">
        <v>74</v>
      </c>
      <c r="C65" s="25">
        <f t="shared" ref="C65:F65" si="125">C62/C58</f>
        <v>0.32406916625775711</v>
      </c>
      <c r="D65" s="25">
        <f t="shared" si="125"/>
        <v>0.13411863195794849</v>
      </c>
      <c r="E65" s="25">
        <f t="shared" si="125"/>
        <v>0.5068939251502067</v>
      </c>
      <c r="F65" s="25">
        <f t="shared" si="125"/>
        <v>0.70599425811340388</v>
      </c>
      <c r="G65" s="25">
        <f>G62/G58</f>
        <v>0.58444578359925603</v>
      </c>
      <c r="H65" s="25">
        <f>H62/H58</f>
        <v>0.65390660737281892</v>
      </c>
      <c r="I65" s="25">
        <f>I62/I58</f>
        <v>0.64502376197616429</v>
      </c>
      <c r="J65" s="25">
        <f t="shared" ref="J65:L65" si="126">J62/J58</f>
        <v>0.67600411144528116</v>
      </c>
      <c r="K65" s="25">
        <f>K62/K58</f>
        <v>0.68182102860322236</v>
      </c>
      <c r="L65" s="25">
        <f t="shared" si="126"/>
        <v>0.67846505038850846</v>
      </c>
      <c r="M65" s="25">
        <f>M62/M58</f>
        <v>0.67807690413087851</v>
      </c>
      <c r="N65" s="25">
        <f t="shared" ref="N65:R65" si="127">N62/N58</f>
        <v>0.68083946145550167</v>
      </c>
      <c r="O65" s="25">
        <f t="shared" si="127"/>
        <v>0.56373101912005963</v>
      </c>
      <c r="P65" s="25">
        <f t="shared" si="127"/>
        <v>0.66069880235434997</v>
      </c>
      <c r="Q65" s="25">
        <f t="shared" si="127"/>
        <v>0.56997870601884948</v>
      </c>
      <c r="R65" s="25">
        <f t="shared" si="127"/>
        <v>0.60564029763466365</v>
      </c>
      <c r="S65" s="25">
        <f t="shared" ref="S65:T65" si="128">S62/S58</f>
        <v>0.64221305536286921</v>
      </c>
      <c r="T65" s="25">
        <f t="shared" si="128"/>
        <v>0.6503988994231461</v>
      </c>
      <c r="U65" s="25">
        <f t="shared" ref="U65:X65" si="129">U62/U58</f>
        <v>0.63936712928131956</v>
      </c>
      <c r="V65" s="25">
        <f t="shared" si="129"/>
        <v>0.66820152168286573</v>
      </c>
      <c r="W65" s="25">
        <f t="shared" si="129"/>
        <v>0.52471840649230428</v>
      </c>
      <c r="X65" s="25">
        <f t="shared" si="129"/>
        <v>0.75514108913184019</v>
      </c>
      <c r="Y65" s="25">
        <f>Y62/Y58</f>
        <v>0.54375629460045316</v>
      </c>
      <c r="Z65" s="25">
        <f t="shared" ref="Z65:AA65" si="130">Z62/Z58</f>
        <v>0.55135878284085316</v>
      </c>
      <c r="AA65" s="25">
        <f t="shared" si="130"/>
        <v>0.48014505172760852</v>
      </c>
      <c r="AB65" s="25">
        <f t="shared" ref="AB65:AD65" si="131">AB62/AB58</f>
        <v>0.64502896621764683</v>
      </c>
      <c r="AC65" s="25">
        <f t="shared" si="131"/>
        <v>0.52697726863613925</v>
      </c>
      <c r="AD65" s="25">
        <f t="shared" si="131"/>
        <v>0.53377608242589591</v>
      </c>
      <c r="AE65" s="25">
        <f>AE62/AE58</f>
        <v>0.55356340235658985</v>
      </c>
      <c r="AF65" s="25">
        <f t="shared" ref="AF65:AG65" si="132">AF62/AF58</f>
        <v>0.52547024735137549</v>
      </c>
      <c r="AG65" s="25">
        <f t="shared" si="132"/>
        <v>0.71783977066594384</v>
      </c>
      <c r="AH65" s="25">
        <f t="shared" ref="AH65:AJ65" si="133">AH62/AH58</f>
        <v>0.6333935282715355</v>
      </c>
      <c r="AI65" s="25">
        <f t="shared" si="133"/>
        <v>0.5101607982555556</v>
      </c>
      <c r="AJ65" s="25">
        <f t="shared" si="133"/>
        <v>0.59587288549285411</v>
      </c>
    </row>
    <row r="67" spans="1:38" ht="15.75" customHeight="1" x14ac:dyDescent="0.25">
      <c r="B67" s="16" t="s">
        <v>75</v>
      </c>
      <c r="C67" s="21">
        <f t="shared" ref="C67:F67" si="134">C62+C68</f>
        <v>1186465.8280445875</v>
      </c>
      <c r="D67" s="20">
        <f t="shared" si="134"/>
        <v>491028.4293928431</v>
      </c>
      <c r="E67" s="20">
        <f t="shared" si="134"/>
        <v>1855814.6940636791</v>
      </c>
      <c r="F67" s="21">
        <f t="shared" si="134"/>
        <v>2584750.8780918885</v>
      </c>
      <c r="G67" s="20">
        <f>G62+G68</f>
        <v>2139743.6806244161</v>
      </c>
      <c r="H67" s="20">
        <f>H62+H68</f>
        <v>2394050.1755829961</v>
      </c>
      <c r="I67" s="20">
        <f>I62+I68</f>
        <v>2361528.7461590338</v>
      </c>
      <c r="J67" s="20">
        <f t="shared" ref="J67:L67" si="135">J62+J68</f>
        <v>2474952.4526178911</v>
      </c>
      <c r="K67" s="20">
        <f t="shared" si="135"/>
        <v>2496249.0588706876</v>
      </c>
      <c r="L67" s="20">
        <f t="shared" si="135"/>
        <v>2483962.3192298878</v>
      </c>
      <c r="M67" s="20">
        <f t="shared" ref="M67:R67" si="136">M62+M68</f>
        <v>2482541.2575587658</v>
      </c>
      <c r="N67" s="20">
        <f t="shared" si="136"/>
        <v>2492655.3943078099</v>
      </c>
      <c r="O67" s="20">
        <f t="shared" si="136"/>
        <v>3800778.2574149603</v>
      </c>
      <c r="P67" s="20">
        <f t="shared" si="136"/>
        <v>4454552.894052661</v>
      </c>
      <c r="Q67" s="20">
        <f t="shared" si="136"/>
        <v>3842901.3120609904</v>
      </c>
      <c r="R67" s="20">
        <f t="shared" si="136"/>
        <v>4083338.3244676669</v>
      </c>
      <c r="S67" s="20">
        <f t="shared" ref="S67:T67" si="137">S62+S68</f>
        <v>9806256.8357500024</v>
      </c>
      <c r="T67" s="20">
        <f t="shared" si="137"/>
        <v>9931250.3851681426</v>
      </c>
      <c r="U67" s="20">
        <f t="shared" ref="U67:X67" si="138">U62+U68</f>
        <v>9762801.0357500054</v>
      </c>
      <c r="V67" s="20">
        <f t="shared" si="138"/>
        <v>10203087.098499998</v>
      </c>
      <c r="W67" s="20">
        <f t="shared" si="138"/>
        <v>8012175.114692484</v>
      </c>
      <c r="X67" s="20">
        <f t="shared" si="138"/>
        <v>11530608.737112494</v>
      </c>
      <c r="Y67" s="20">
        <f t="shared" ref="Y67:AA67" si="139">Y62+Y68</f>
        <v>8302873.6902505495</v>
      </c>
      <c r="Z67" s="20">
        <f t="shared" si="139"/>
        <v>8418959.7019776199</v>
      </c>
      <c r="AA67" s="20">
        <f t="shared" si="139"/>
        <v>7331563.3438734766</v>
      </c>
      <c r="AB67" s="20">
        <f t="shared" ref="AB67:AG67" si="140">AB62+AB68</f>
        <v>13389155.869785527</v>
      </c>
      <c r="AC67" s="20">
        <f t="shared" si="140"/>
        <v>10938703.777873959</v>
      </c>
      <c r="AD67" s="20">
        <f t="shared" si="140"/>
        <v>11079829.808375331</v>
      </c>
      <c r="AE67" s="20">
        <f>AE62+AE68</f>
        <v>11490564.092683394</v>
      </c>
      <c r="AF67" s="20">
        <f t="shared" si="140"/>
        <v>10907421.860413561</v>
      </c>
      <c r="AG67" s="20">
        <f t="shared" si="140"/>
        <v>14900522.429770026</v>
      </c>
      <c r="AH67" s="20">
        <f t="shared" ref="AH67:AJ67" si="141">AH62+AH68</f>
        <v>13147633.860026456</v>
      </c>
      <c r="AI67" s="20">
        <f t="shared" si="141"/>
        <v>13825898.913332505</v>
      </c>
      <c r="AJ67" s="20">
        <f t="shared" si="141"/>
        <v>16148787.417987855</v>
      </c>
    </row>
    <row r="68" spans="1:38" ht="15.75" customHeight="1" x14ac:dyDescent="0.25">
      <c r="B68" s="17" t="s">
        <v>76</v>
      </c>
      <c r="C68" s="24">
        <f t="shared" ref="C68:AD68" si="142">-C21-C23</f>
        <v>0</v>
      </c>
      <c r="D68" s="24">
        <f t="shared" si="142"/>
        <v>0</v>
      </c>
      <c r="E68" s="24">
        <f t="shared" si="142"/>
        <v>0</v>
      </c>
      <c r="F68" s="24">
        <f t="shared" si="142"/>
        <v>0</v>
      </c>
      <c r="G68" s="24">
        <f t="shared" si="142"/>
        <v>0</v>
      </c>
      <c r="H68" s="24">
        <f t="shared" si="142"/>
        <v>0</v>
      </c>
      <c r="I68" s="24">
        <f t="shared" si="142"/>
        <v>0</v>
      </c>
      <c r="J68" s="24">
        <f t="shared" si="142"/>
        <v>0</v>
      </c>
      <c r="K68" s="24">
        <f t="shared" si="142"/>
        <v>0</v>
      </c>
      <c r="L68" s="24">
        <f t="shared" si="142"/>
        <v>0</v>
      </c>
      <c r="M68" s="24">
        <f t="shared" si="142"/>
        <v>0</v>
      </c>
      <c r="N68" s="24">
        <f t="shared" si="142"/>
        <v>0</v>
      </c>
      <c r="O68" s="24">
        <f t="shared" si="142"/>
        <v>0</v>
      </c>
      <c r="P68" s="24">
        <f t="shared" si="142"/>
        <v>0</v>
      </c>
      <c r="Q68" s="24">
        <f t="shared" si="142"/>
        <v>0</v>
      </c>
      <c r="R68" s="24">
        <f t="shared" si="142"/>
        <v>0</v>
      </c>
      <c r="S68" s="24">
        <f t="shared" si="142"/>
        <v>0</v>
      </c>
      <c r="T68" s="24">
        <f t="shared" si="142"/>
        <v>0</v>
      </c>
      <c r="U68" s="24">
        <f t="shared" si="142"/>
        <v>0</v>
      </c>
      <c r="V68" s="24">
        <f t="shared" si="142"/>
        <v>0</v>
      </c>
      <c r="W68" s="24">
        <f t="shared" si="142"/>
        <v>0</v>
      </c>
      <c r="X68" s="24">
        <f t="shared" si="142"/>
        <v>0</v>
      </c>
      <c r="Y68" s="24">
        <f t="shared" si="142"/>
        <v>0</v>
      </c>
      <c r="Z68" s="24">
        <f t="shared" si="142"/>
        <v>0</v>
      </c>
      <c r="AA68" s="24">
        <f t="shared" si="142"/>
        <v>0</v>
      </c>
      <c r="AB68" s="24">
        <f t="shared" si="142"/>
        <v>0</v>
      </c>
      <c r="AC68" s="24">
        <f t="shared" si="142"/>
        <v>0</v>
      </c>
      <c r="AD68" s="24">
        <f t="shared" si="142"/>
        <v>0</v>
      </c>
      <c r="AE68" s="24">
        <f t="shared" ref="AE68:AG68" si="143">-AE21-AE23</f>
        <v>0</v>
      </c>
      <c r="AF68" s="24">
        <f t="shared" si="143"/>
        <v>0</v>
      </c>
      <c r="AG68" s="24">
        <f t="shared" si="143"/>
        <v>0</v>
      </c>
      <c r="AH68" s="24">
        <f t="shared" ref="AH68:AJ68" si="144">-AH21-AH23</f>
        <v>0</v>
      </c>
      <c r="AI68" s="24">
        <f t="shared" si="144"/>
        <v>0</v>
      </c>
      <c r="AJ68" s="24">
        <f t="shared" si="144"/>
        <v>0</v>
      </c>
    </row>
    <row r="69" spans="1:38" ht="15.75" customHeight="1" x14ac:dyDescent="0.25">
      <c r="B69" s="18" t="s">
        <v>77</v>
      </c>
      <c r="C69" s="27">
        <f t="shared" ref="C69:F69" si="145">C67/C58</f>
        <v>0.32406916625775711</v>
      </c>
      <c r="D69" s="27">
        <f t="shared" si="145"/>
        <v>0.13411863195794849</v>
      </c>
      <c r="E69" s="27">
        <f t="shared" si="145"/>
        <v>0.5068939251502067</v>
      </c>
      <c r="F69" s="27">
        <f t="shared" si="145"/>
        <v>0.70599425811340388</v>
      </c>
      <c r="G69" s="27">
        <f>G67/G58</f>
        <v>0.58444578359925603</v>
      </c>
      <c r="H69" s="27">
        <f>H67/H58</f>
        <v>0.65390660737281892</v>
      </c>
      <c r="I69" s="27">
        <f>I67/I58</f>
        <v>0.64502376197616429</v>
      </c>
      <c r="J69" s="27">
        <f t="shared" ref="J69:L69" si="146">J67/J58</f>
        <v>0.67600411144528116</v>
      </c>
      <c r="K69" s="27">
        <f t="shared" si="146"/>
        <v>0.68182102860322236</v>
      </c>
      <c r="L69" s="27">
        <f t="shared" si="146"/>
        <v>0.67846505038850846</v>
      </c>
      <c r="M69" s="27">
        <f>M67/M58</f>
        <v>0.67807690413087851</v>
      </c>
      <c r="N69" s="27">
        <f t="shared" ref="N69:R69" si="147">N67/N58</f>
        <v>0.68083946145550167</v>
      </c>
      <c r="O69" s="27">
        <f t="shared" si="147"/>
        <v>0.56373101912005963</v>
      </c>
      <c r="P69" s="27">
        <f t="shared" si="147"/>
        <v>0.66069880235434997</v>
      </c>
      <c r="Q69" s="27">
        <f t="shared" si="147"/>
        <v>0.56997870601884948</v>
      </c>
      <c r="R69" s="27">
        <f t="shared" si="147"/>
        <v>0.60564029763466365</v>
      </c>
      <c r="S69" s="27">
        <f t="shared" ref="S69:T69" si="148">S67/S58</f>
        <v>0.64221305536286921</v>
      </c>
      <c r="T69" s="27">
        <f t="shared" si="148"/>
        <v>0.6503988994231461</v>
      </c>
      <c r="U69" s="27">
        <f t="shared" ref="U69:X69" si="149">U67/U58</f>
        <v>0.63936712928131956</v>
      </c>
      <c r="V69" s="27">
        <f t="shared" si="149"/>
        <v>0.66820152168286573</v>
      </c>
      <c r="W69" s="27">
        <f t="shared" si="149"/>
        <v>0.52471840649230428</v>
      </c>
      <c r="X69" s="27">
        <f t="shared" si="149"/>
        <v>0.75514108913184019</v>
      </c>
      <c r="Y69" s="27">
        <f>Y67/Y58</f>
        <v>0.54375629460045316</v>
      </c>
      <c r="Z69" s="27">
        <f t="shared" ref="Z69:AA69" si="150">Z67/Z58</f>
        <v>0.55135878284085316</v>
      </c>
      <c r="AA69" s="27">
        <f t="shared" si="150"/>
        <v>0.48014505172760852</v>
      </c>
      <c r="AB69" s="27">
        <f t="shared" ref="AB69:AD69" si="151">AB67/AB58</f>
        <v>0.64502896621764683</v>
      </c>
      <c r="AC69" s="27">
        <f>AC67/AC58</f>
        <v>0.52697726863613925</v>
      </c>
      <c r="AD69" s="27">
        <f t="shared" si="151"/>
        <v>0.53377608242589591</v>
      </c>
      <c r="AE69" s="27">
        <f t="shared" ref="AE69:AG69" si="152">AE67/AE58</f>
        <v>0.55356340235658985</v>
      </c>
      <c r="AF69" s="27">
        <f t="shared" si="152"/>
        <v>0.52547024735137549</v>
      </c>
      <c r="AG69" s="27">
        <f t="shared" si="152"/>
        <v>0.71783977066594384</v>
      </c>
      <c r="AH69" s="27">
        <f t="shared" ref="AH69:AJ69" si="153">AH67/AH58</f>
        <v>0.6333935282715355</v>
      </c>
      <c r="AI69" s="27">
        <f t="shared" si="153"/>
        <v>0.5101607982555556</v>
      </c>
      <c r="AJ69" s="27">
        <f t="shared" si="153"/>
        <v>0.59587288549285411</v>
      </c>
    </row>
    <row r="71" spans="1:38" ht="15.75" customHeight="1" x14ac:dyDescent="0.25">
      <c r="B71" s="16" t="s">
        <v>78</v>
      </c>
      <c r="C71" s="21">
        <f t="shared" ref="C71:F71" si="154">+(C72/C73)</f>
        <v>299.47310668491264</v>
      </c>
      <c r="D71" s="20">
        <f t="shared" si="154"/>
        <v>722.19645090302924</v>
      </c>
      <c r="E71" s="20">
        <f t="shared" si="154"/>
        <v>173.60634174876563</v>
      </c>
      <c r="F71" s="21">
        <f t="shared" si="154"/>
        <v>124.63274168140072</v>
      </c>
      <c r="G71" s="20">
        <f>+(G72/G73)</f>
        <v>159.70685839356071</v>
      </c>
      <c r="H71" s="20">
        <f>+(H72/H73)</f>
        <v>145.83122257033773</v>
      </c>
      <c r="I71" s="20">
        <f>+(I72/I73)</f>
        <v>155.48264406994986</v>
      </c>
      <c r="J71" s="20">
        <f t="shared" ref="J71:L71" si="155">+(J72/J73)</f>
        <v>150.8866562688892</v>
      </c>
      <c r="K71" s="20">
        <f t="shared" si="155"/>
        <v>150.03937354289533</v>
      </c>
      <c r="L71" s="20">
        <f t="shared" si="155"/>
        <v>147.68631035986689</v>
      </c>
      <c r="M71" s="20">
        <f>+(M72/M73)</f>
        <v>149.24560825399675</v>
      </c>
      <c r="N71" s="20">
        <f t="shared" ref="N71:R71" si="156">+(N72/N73)</f>
        <v>151.5775830316571</v>
      </c>
      <c r="O71" s="20">
        <f t="shared" si="156"/>
        <v>180.93735583188962</v>
      </c>
      <c r="P71" s="20">
        <f t="shared" si="156"/>
        <v>162.17677346799951</v>
      </c>
      <c r="Q71" s="20">
        <f t="shared" si="156"/>
        <v>188.95442735441125</v>
      </c>
      <c r="R71" s="20">
        <f t="shared" si="156"/>
        <v>175.51672240958217</v>
      </c>
      <c r="S71" s="20">
        <f t="shared" ref="S71:T71" si="157">+(S72/S73)</f>
        <v>173.38482777663867</v>
      </c>
      <c r="T71" s="20">
        <f t="shared" si="157"/>
        <v>193.11225789495887</v>
      </c>
      <c r="U71" s="20">
        <f t="shared" ref="U71:X71" si="158">+(U72/U73)</f>
        <v>238.51711014830806</v>
      </c>
      <c r="V71" s="20">
        <f t="shared" si="158"/>
        <v>202.78313592992606</v>
      </c>
      <c r="W71" s="20">
        <f t="shared" si="158"/>
        <v>245.84614986608435</v>
      </c>
      <c r="X71" s="20">
        <f t="shared" si="158"/>
        <v>138.51716123705444</v>
      </c>
      <c r="Y71" s="20">
        <f>+(Y72/Y73)</f>
        <v>206.8573754767275</v>
      </c>
      <c r="Z71" s="20">
        <f t="shared" ref="Z71:AA71" si="159">+(Z72/Z73)</f>
        <v>208.57562004810603</v>
      </c>
      <c r="AA71" s="20">
        <f t="shared" si="159"/>
        <v>270.68903351675777</v>
      </c>
      <c r="AB71" s="20">
        <f t="shared" ref="AB71:AG71" si="160">+(AB72/AB73)</f>
        <v>195.41758060748543</v>
      </c>
      <c r="AC71" s="20">
        <f t="shared" si="160"/>
        <v>239.55492487696776</v>
      </c>
      <c r="AD71" s="20">
        <f t="shared" si="160"/>
        <v>252.91504142796063</v>
      </c>
      <c r="AE71" s="20">
        <f t="shared" si="160"/>
        <v>233.03563684093021</v>
      </c>
      <c r="AF71" s="20">
        <f t="shared" si="160"/>
        <v>243.21072533444831</v>
      </c>
      <c r="AG71" s="20">
        <f t="shared" si="160"/>
        <v>172.74049873966237</v>
      </c>
      <c r="AH71" s="20">
        <f t="shared" ref="AH71:AJ71" si="161">+(AH72/AH73)</f>
        <v>191.50811396986478</v>
      </c>
      <c r="AI71" s="20">
        <f t="shared" si="161"/>
        <v>236.20003812922874</v>
      </c>
      <c r="AJ71" s="20">
        <f t="shared" si="161"/>
        <v>194.97446993901397</v>
      </c>
    </row>
    <row r="72" spans="1:38" ht="15.75" customHeight="1" x14ac:dyDescent="0.25">
      <c r="B72" s="17" t="s">
        <v>79</v>
      </c>
      <c r="C72" s="29">
        <f>97.05*C58</f>
        <v>355314607.5</v>
      </c>
      <c r="D72" s="29">
        <f>96.86*D58</f>
        <v>354618989</v>
      </c>
      <c r="E72" s="29">
        <f>88*E58</f>
        <v>322181200</v>
      </c>
      <c r="F72" s="29">
        <f>87.99*F58</f>
        <v>322144588.5</v>
      </c>
      <c r="G72" s="29">
        <f>93.34*G58</f>
        <v>341731741</v>
      </c>
      <c r="H72" s="29">
        <f>95.36*H58</f>
        <v>349127264</v>
      </c>
      <c r="I72" s="29">
        <f>100.29*I58</f>
        <v>367176733.5</v>
      </c>
      <c r="J72" s="29">
        <f>102*J58</f>
        <v>373437300</v>
      </c>
      <c r="K72" s="29">
        <f>102.3*K58</f>
        <v>374535645</v>
      </c>
      <c r="L72" s="29">
        <f>100.2*L58</f>
        <v>366847230</v>
      </c>
      <c r="M72" s="29">
        <f>101.2*M58</f>
        <v>370508380</v>
      </c>
      <c r="N72" s="29">
        <f>103.2*N58</f>
        <v>377830680</v>
      </c>
      <c r="O72" s="29">
        <f>102*O58</f>
        <v>687702768</v>
      </c>
      <c r="P72" s="29">
        <f>107.15*P58</f>
        <v>722425015.60000002</v>
      </c>
      <c r="Q72" s="29">
        <f>107.7*Q58</f>
        <v>726133216.80000007</v>
      </c>
      <c r="R72" s="29">
        <f>106.3*R58</f>
        <v>716694159.19999993</v>
      </c>
      <c r="S72" s="29">
        <f>111.35*S58</f>
        <v>1700256152.5999999</v>
      </c>
      <c r="T72" s="29">
        <f>125.6*T58</f>
        <v>1917846185.5999999</v>
      </c>
      <c r="U72" s="29">
        <f>152.5*U58</f>
        <v>2328595090</v>
      </c>
      <c r="V72" s="29">
        <f>135.5*V58</f>
        <v>2069013998</v>
      </c>
      <c r="W72" s="29">
        <f>129*W58</f>
        <v>1969762404</v>
      </c>
      <c r="X72" s="29">
        <f>104.6*X58</f>
        <v>1597187189.5999999</v>
      </c>
      <c r="Y72" s="29">
        <f>112.48*Y58</f>
        <v>1717510660.48</v>
      </c>
      <c r="Z72" s="29">
        <f>115*Z58</f>
        <v>1755989740</v>
      </c>
      <c r="AA72" s="29">
        <f>129.97*AA58</f>
        <v>1984573795.72</v>
      </c>
      <c r="AB72" s="29">
        <f>126.05*AB58</f>
        <v>2616476446.4499998</v>
      </c>
      <c r="AC72" s="29">
        <f>126.24*AC58</f>
        <v>2620420361.7599998</v>
      </c>
      <c r="AD72" s="29">
        <f>135*AD58</f>
        <v>2802255615</v>
      </c>
      <c r="AE72" s="29">
        <f>129*AE58</f>
        <v>2677710921</v>
      </c>
      <c r="AF72" s="29">
        <f>127.8*AF58</f>
        <v>2652801982.1999998</v>
      </c>
      <c r="AG72" s="29">
        <f>124*AG58</f>
        <v>2573923676</v>
      </c>
      <c r="AH72" s="29">
        <f>121.3*AH58</f>
        <v>2517878563.6999998</v>
      </c>
      <c r="AI72" s="29">
        <f>120.5*AI58</f>
        <v>3265677850.5</v>
      </c>
      <c r="AJ72" s="29">
        <f>116.18*AJ58</f>
        <v>3148601266.98</v>
      </c>
    </row>
    <row r="73" spans="1:38" ht="15.75" customHeight="1" x14ac:dyDescent="0.25">
      <c r="B73" s="18" t="s">
        <v>80</v>
      </c>
      <c r="C73" s="30">
        <f t="shared" ref="C73:H73" si="162">C56</f>
        <v>1186465.8280445875</v>
      </c>
      <c r="D73" s="30">
        <f t="shared" si="162"/>
        <v>491028.4293928431</v>
      </c>
      <c r="E73" s="30">
        <f t="shared" si="162"/>
        <v>1855814.6940636791</v>
      </c>
      <c r="F73" s="30">
        <f t="shared" si="162"/>
        <v>2584750.8780918885</v>
      </c>
      <c r="G73" s="30">
        <f t="shared" si="162"/>
        <v>2139743.6806244161</v>
      </c>
      <c r="H73" s="30">
        <f t="shared" si="162"/>
        <v>2394050.1755829961</v>
      </c>
      <c r="I73" s="30">
        <f t="shared" ref="I73:L73" si="163">I56</f>
        <v>2361528.7461590338</v>
      </c>
      <c r="J73" s="30">
        <f t="shared" si="163"/>
        <v>2474952.4526178911</v>
      </c>
      <c r="K73" s="30">
        <f t="shared" si="163"/>
        <v>2496249.0588706876</v>
      </c>
      <c r="L73" s="30">
        <f t="shared" si="163"/>
        <v>2483962.3192298878</v>
      </c>
      <c r="M73" s="30">
        <f t="shared" ref="M73:R73" si="164">M56</f>
        <v>2482541.2575587658</v>
      </c>
      <c r="N73" s="30">
        <f t="shared" si="164"/>
        <v>2492655.3943078099</v>
      </c>
      <c r="O73" s="30">
        <f t="shared" si="164"/>
        <v>3800778.2574149603</v>
      </c>
      <c r="P73" s="30">
        <f t="shared" si="164"/>
        <v>4454552.894052661</v>
      </c>
      <c r="Q73" s="30">
        <f t="shared" si="164"/>
        <v>3842901.3120609904</v>
      </c>
      <c r="R73" s="30">
        <f t="shared" si="164"/>
        <v>4083338.3244676669</v>
      </c>
      <c r="S73" s="30">
        <f t="shared" ref="S73:T73" si="165">S56</f>
        <v>9806256.8357500024</v>
      </c>
      <c r="T73" s="30">
        <f t="shared" si="165"/>
        <v>9931250.3851681426</v>
      </c>
      <c r="U73" s="30">
        <f t="shared" ref="U73:X73" si="166">U56</f>
        <v>9762801.0357500054</v>
      </c>
      <c r="V73" s="30">
        <f t="shared" si="166"/>
        <v>10203087.098499998</v>
      </c>
      <c r="W73" s="30">
        <f t="shared" si="166"/>
        <v>8012175.114692484</v>
      </c>
      <c r="X73" s="30">
        <f t="shared" si="166"/>
        <v>11530608.737112494</v>
      </c>
      <c r="Y73" s="30">
        <f>Y56</f>
        <v>8302873.6902505495</v>
      </c>
      <c r="Z73" s="30">
        <f t="shared" ref="Z73:AA73" si="167">Z56</f>
        <v>8418959.7019776199</v>
      </c>
      <c r="AA73" s="30">
        <f t="shared" si="167"/>
        <v>7331563.3438734766</v>
      </c>
      <c r="AB73" s="30">
        <f t="shared" ref="AB73:AD73" si="168">AB56</f>
        <v>13389155.869785527</v>
      </c>
      <c r="AC73" s="30">
        <f t="shared" si="168"/>
        <v>10938703.777873959</v>
      </c>
      <c r="AD73" s="30">
        <f t="shared" si="168"/>
        <v>11079829.808375331</v>
      </c>
      <c r="AE73" s="30">
        <f t="shared" ref="AE73:AG73" si="169">AE56</f>
        <v>11490564.092683394</v>
      </c>
      <c r="AF73" s="30">
        <f>AF56</f>
        <v>10907421.860413561</v>
      </c>
      <c r="AG73" s="30">
        <f t="shared" si="169"/>
        <v>14900522.429770026</v>
      </c>
      <c r="AH73" s="30">
        <f t="shared" ref="AH73:AJ73" si="170">AH56</f>
        <v>13147633.860026456</v>
      </c>
      <c r="AI73" s="30">
        <f t="shared" si="170"/>
        <v>13825898.913332505</v>
      </c>
      <c r="AJ73" s="30">
        <f t="shared" si="170"/>
        <v>16148787.417987855</v>
      </c>
    </row>
    <row r="74" spans="1:38" ht="15.75" customHeight="1" x14ac:dyDescent="0.25">
      <c r="B74" s="18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</row>
    <row r="75" spans="1:38" ht="15.75" customHeight="1" x14ac:dyDescent="0.25">
      <c r="B75" s="16" t="s">
        <v>81</v>
      </c>
      <c r="C75" s="31">
        <f t="shared" ref="C75:F75" si="171">C76/C77</f>
        <v>4.0070376044235814E-2</v>
      </c>
      <c r="D75" s="32">
        <f t="shared" si="171"/>
        <v>1.6615977529376231E-2</v>
      </c>
      <c r="E75" s="32">
        <f t="shared" si="171"/>
        <v>6.9121898884119098E-2</v>
      </c>
      <c r="F75" s="31">
        <f t="shared" si="171"/>
        <v>9.6282885525182937E-2</v>
      </c>
      <c r="G75" s="32">
        <f>G76/G77</f>
        <v>7.5137662344022624E-2</v>
      </c>
      <c r="H75" s="32">
        <f>H76/H77</f>
        <v>8.228690529020373E-2</v>
      </c>
      <c r="I75" s="32">
        <f>I76/I77</f>
        <v>7.7179032243633178E-2</v>
      </c>
      <c r="J75" s="32">
        <f t="shared" ref="J75:L75" si="172">J76/J77</f>
        <v>7.9529895464150721E-2</v>
      </c>
      <c r="K75" s="32">
        <f t="shared" si="172"/>
        <v>7.9979006287768023E-2</v>
      </c>
      <c r="L75" s="32">
        <f t="shared" si="172"/>
        <v>8.1253299447725552E-2</v>
      </c>
      <c r="M75" s="32">
        <f t="shared" ref="M75:R75" si="173">M76/M77</f>
        <v>8.0404375983898629E-2</v>
      </c>
      <c r="N75" s="32">
        <f t="shared" si="173"/>
        <v>7.916737923901182E-2</v>
      </c>
      <c r="O75" s="32">
        <f t="shared" si="173"/>
        <v>6.6321296367065838E-2</v>
      </c>
      <c r="P75" s="32">
        <f t="shared" si="173"/>
        <v>7.3993332974822204E-2</v>
      </c>
      <c r="Q75" s="32">
        <f t="shared" si="173"/>
        <v>6.3507376715192132E-2</v>
      </c>
      <c r="R75" s="32">
        <f t="shared" si="173"/>
        <v>6.8369553825173707E-2</v>
      </c>
      <c r="S75" s="32">
        <f t="shared" ref="S75:T75" si="174">S76/S77</f>
        <v>6.9210208031921239E-2</v>
      </c>
      <c r="T75" s="32">
        <f t="shared" si="174"/>
        <v>6.2140022237880198E-2</v>
      </c>
      <c r="U75" s="32">
        <f t="shared" ref="U75:X75" si="175">U76/U77</f>
        <v>5.0310856074595643E-2</v>
      </c>
      <c r="V75" s="32">
        <f t="shared" si="175"/>
        <v>5.9176518525419844E-2</v>
      </c>
      <c r="W75" s="32">
        <f t="shared" si="175"/>
        <v>4.8811014557423656E-2</v>
      </c>
      <c r="X75" s="32">
        <f t="shared" si="175"/>
        <v>8.6631864909962553E-2</v>
      </c>
      <c r="Y75" s="32">
        <f t="shared" ref="Y75:AA75" si="176">Y76/Y77</f>
        <v>5.8010984487957308E-2</v>
      </c>
      <c r="Z75" s="32">
        <f t="shared" si="176"/>
        <v>5.7533090383393375E-2</v>
      </c>
      <c r="AA75" s="32">
        <f t="shared" si="176"/>
        <v>4.4331312000702491E-2</v>
      </c>
      <c r="AB75" s="32">
        <f t="shared" ref="AB75:AD75" si="177">AB76/AB77</f>
        <v>6.1406962273794226E-2</v>
      </c>
      <c r="AC75" s="32">
        <f t="shared" si="177"/>
        <v>5.0092896258188149E-2</v>
      </c>
      <c r="AD75" s="32">
        <f t="shared" si="177"/>
        <v>4.744676288230186E-2</v>
      </c>
      <c r="AE75" s="32">
        <f t="shared" ref="AE75:AG75" si="178">AE76/AE77</f>
        <v>5.149426998665952E-2</v>
      </c>
      <c r="AF75" s="32">
        <f t="shared" si="178"/>
        <v>4.933992932876765E-2</v>
      </c>
      <c r="AG75" s="32">
        <f t="shared" si="178"/>
        <v>6.9468364903155846E-2</v>
      </c>
      <c r="AH75" s="32">
        <f t="shared" ref="AH75:AJ75" si="179">AH76/AH77</f>
        <v>6.2660530414331631E-2</v>
      </c>
      <c r="AI75" s="32">
        <f t="shared" si="179"/>
        <v>5.0804394847026285E-2</v>
      </c>
      <c r="AJ75" s="32">
        <f t="shared" si="179"/>
        <v>6.1546519417406173E-2</v>
      </c>
    </row>
    <row r="76" spans="1:38" ht="15.75" customHeight="1" x14ac:dyDescent="0.25">
      <c r="B76" s="17" t="s">
        <v>77</v>
      </c>
      <c r="C76" s="28">
        <f t="shared" ref="C76:F76" si="180">C69*12</f>
        <v>3.8888299950930856</v>
      </c>
      <c r="D76" s="28">
        <f t="shared" si="180"/>
        <v>1.6094235834953818</v>
      </c>
      <c r="E76" s="28">
        <f t="shared" si="180"/>
        <v>6.0827271018024804</v>
      </c>
      <c r="F76" s="28">
        <f t="shared" si="180"/>
        <v>8.4719310973608462</v>
      </c>
      <c r="G76" s="28">
        <f>G69*12</f>
        <v>7.0133494031910724</v>
      </c>
      <c r="H76" s="28">
        <f>H69*12</f>
        <v>7.8468792884738274</v>
      </c>
      <c r="I76" s="28">
        <f>I69*12</f>
        <v>7.7402851437139715</v>
      </c>
      <c r="J76" s="28">
        <f t="shared" ref="J76:L76" si="181">J69*12</f>
        <v>8.1120493373433735</v>
      </c>
      <c r="K76" s="28">
        <f t="shared" si="181"/>
        <v>8.1818523432386687</v>
      </c>
      <c r="L76" s="28">
        <f t="shared" si="181"/>
        <v>8.1415806046621011</v>
      </c>
      <c r="M76" s="28">
        <f t="shared" ref="M76:R76" si="182">M69*12</f>
        <v>8.1369228495705421</v>
      </c>
      <c r="N76" s="28">
        <f t="shared" si="182"/>
        <v>8.1700735374660205</v>
      </c>
      <c r="O76" s="28">
        <f t="shared" si="182"/>
        <v>6.764772229440716</v>
      </c>
      <c r="P76" s="28">
        <f t="shared" si="182"/>
        <v>7.9283856282521992</v>
      </c>
      <c r="Q76" s="28">
        <f t="shared" si="182"/>
        <v>6.8397444722261937</v>
      </c>
      <c r="R76" s="28">
        <f t="shared" si="182"/>
        <v>7.2676835716159633</v>
      </c>
      <c r="S76" s="28">
        <f t="shared" ref="S76:T76" si="183">S69*12</f>
        <v>7.7065566643544301</v>
      </c>
      <c r="T76" s="28">
        <f t="shared" si="183"/>
        <v>7.8047867930777528</v>
      </c>
      <c r="U76" s="28">
        <f t="shared" ref="U76:X76" si="184">U69*12</f>
        <v>7.6724055513758351</v>
      </c>
      <c r="V76" s="28">
        <f t="shared" si="184"/>
        <v>8.0184182601943892</v>
      </c>
      <c r="W76" s="28">
        <f t="shared" si="184"/>
        <v>6.2966208779076513</v>
      </c>
      <c r="X76" s="28">
        <f t="shared" si="184"/>
        <v>9.0616930695820823</v>
      </c>
      <c r="Y76" s="28">
        <f>Y69*12</f>
        <v>6.5250755352054384</v>
      </c>
      <c r="Z76" s="28">
        <f t="shared" ref="Z76:AA76" si="185">Z69*12</f>
        <v>6.6163053940902383</v>
      </c>
      <c r="AA76" s="28">
        <f t="shared" si="185"/>
        <v>5.7617406207313024</v>
      </c>
      <c r="AB76" s="28">
        <f t="shared" ref="AB76:AD76" si="186">AB69*12</f>
        <v>7.7403475946117624</v>
      </c>
      <c r="AC76" s="28">
        <f t="shared" si="186"/>
        <v>6.3237272236336715</v>
      </c>
      <c r="AD76" s="28">
        <f t="shared" si="186"/>
        <v>6.405312989110751</v>
      </c>
      <c r="AE76" s="28">
        <f t="shared" ref="AE76:AG76" si="187">AE69*12</f>
        <v>6.6427608282790782</v>
      </c>
      <c r="AF76" s="28">
        <f t="shared" si="187"/>
        <v>6.3056429682165058</v>
      </c>
      <c r="AG76" s="28">
        <f t="shared" si="187"/>
        <v>8.6140772479913252</v>
      </c>
      <c r="AH76" s="28">
        <f t="shared" ref="AH76:AJ76" si="188">AH69*12</f>
        <v>7.600722339258426</v>
      </c>
      <c r="AI76" s="28">
        <f t="shared" si="188"/>
        <v>6.1219295790666672</v>
      </c>
      <c r="AJ76" s="28">
        <f t="shared" si="188"/>
        <v>7.1504746259142493</v>
      </c>
    </row>
    <row r="77" spans="1:38" ht="15.75" customHeight="1" x14ac:dyDescent="0.25">
      <c r="B77" s="18" t="s">
        <v>82</v>
      </c>
      <c r="C77" s="27">
        <f>C72/C58</f>
        <v>97.05</v>
      </c>
      <c r="D77" s="27">
        <f t="shared" ref="D77:F77" si="189">D72/D58</f>
        <v>96.86</v>
      </c>
      <c r="E77" s="27">
        <f t="shared" si="189"/>
        <v>88</v>
      </c>
      <c r="F77" s="27">
        <f t="shared" si="189"/>
        <v>87.99</v>
      </c>
      <c r="G77" s="27">
        <f>G72/G58</f>
        <v>93.34</v>
      </c>
      <c r="H77" s="27">
        <f>H72/H58</f>
        <v>95.36</v>
      </c>
      <c r="I77" s="27">
        <f>I72/I58</f>
        <v>100.29</v>
      </c>
      <c r="J77" s="27">
        <f t="shared" ref="J77:L77" si="190">J72/J58</f>
        <v>102</v>
      </c>
      <c r="K77" s="27">
        <f t="shared" si="190"/>
        <v>102.3</v>
      </c>
      <c r="L77" s="27">
        <f t="shared" si="190"/>
        <v>100.2</v>
      </c>
      <c r="M77" s="27">
        <f t="shared" ref="M77:R77" si="191">M72/M58</f>
        <v>101.2</v>
      </c>
      <c r="N77" s="27">
        <f t="shared" si="191"/>
        <v>103.2</v>
      </c>
      <c r="O77" s="27">
        <f t="shared" si="191"/>
        <v>102</v>
      </c>
      <c r="P77" s="27">
        <f t="shared" si="191"/>
        <v>107.15</v>
      </c>
      <c r="Q77" s="27">
        <f t="shared" si="191"/>
        <v>107.70000000000002</v>
      </c>
      <c r="R77" s="27">
        <f t="shared" si="191"/>
        <v>106.29999999999998</v>
      </c>
      <c r="S77" s="27">
        <f t="shared" ref="S77:T77" si="192">S72/S58</f>
        <v>111.35</v>
      </c>
      <c r="T77" s="27">
        <f t="shared" si="192"/>
        <v>125.6</v>
      </c>
      <c r="U77" s="27">
        <f t="shared" ref="U77:X77" si="193">U72/U58</f>
        <v>152.5</v>
      </c>
      <c r="V77" s="27">
        <f t="shared" si="193"/>
        <v>135.5</v>
      </c>
      <c r="W77" s="27">
        <f t="shared" si="193"/>
        <v>129</v>
      </c>
      <c r="X77" s="27">
        <f t="shared" si="193"/>
        <v>104.6</v>
      </c>
      <c r="Y77" s="27">
        <f t="shared" ref="Y77:AA77" si="194">Y72/Y58</f>
        <v>112.48</v>
      </c>
      <c r="Z77" s="27">
        <f t="shared" si="194"/>
        <v>115</v>
      </c>
      <c r="AA77" s="27">
        <f t="shared" si="194"/>
        <v>129.97</v>
      </c>
      <c r="AB77" s="27">
        <f t="shared" ref="AB77:AD77" si="195">AB72/AB58</f>
        <v>126.05</v>
      </c>
      <c r="AC77" s="27">
        <f t="shared" si="195"/>
        <v>126.24</v>
      </c>
      <c r="AD77" s="27">
        <f t="shared" si="195"/>
        <v>135</v>
      </c>
      <c r="AE77" s="27">
        <f t="shared" ref="AE77:AG77" si="196">AE72/AE58</f>
        <v>129</v>
      </c>
      <c r="AF77" s="27">
        <f t="shared" si="196"/>
        <v>127.8</v>
      </c>
      <c r="AG77" s="27">
        <f t="shared" si="196"/>
        <v>124</v>
      </c>
      <c r="AH77" s="27">
        <f t="shared" ref="AH77:AJ77" si="197">AH72/AH58</f>
        <v>121.3</v>
      </c>
      <c r="AI77" s="27">
        <f t="shared" si="197"/>
        <v>120.5</v>
      </c>
      <c r="AJ77" s="27">
        <f t="shared" si="197"/>
        <v>116.18</v>
      </c>
    </row>
    <row r="79" spans="1:38" ht="15.75" customHeight="1" x14ac:dyDescent="0.25">
      <c r="B79" s="16" t="s">
        <v>83</v>
      </c>
      <c r="C79" s="31"/>
      <c r="D79" s="32"/>
      <c r="E79" s="32"/>
      <c r="F79" s="31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</row>
    <row r="80" spans="1:38" s="7" customFormat="1" ht="15.75" customHeight="1" x14ac:dyDescent="0.25">
      <c r="A80" s="6"/>
      <c r="B80" s="48" t="s">
        <v>84</v>
      </c>
      <c r="C80" s="40">
        <f>SUM(C81:C82)</f>
        <v>99615605.039999992</v>
      </c>
      <c r="D80" s="40">
        <f t="shared" ref="D80:F80" si="198">SUM(D81:D82)</f>
        <v>94708311.959999979</v>
      </c>
      <c r="E80" s="40">
        <f t="shared" si="198"/>
        <v>95935935.049999997</v>
      </c>
      <c r="F80" s="40">
        <f t="shared" si="198"/>
        <v>96046058.129999995</v>
      </c>
      <c r="G80" s="40">
        <f>SUM(G81:G82)</f>
        <v>95262178.040000007</v>
      </c>
      <c r="H80" s="40">
        <f>SUM(H81:H82)</f>
        <v>62265748.190000005</v>
      </c>
      <c r="I80" s="40">
        <f>SUM(I81:I82)</f>
        <v>34548162.630000003</v>
      </c>
      <c r="J80" s="40">
        <f t="shared" ref="J80:L80" si="199">SUM(J81:J82)</f>
        <v>17136885.399999999</v>
      </c>
      <c r="K80" s="40">
        <f t="shared" si="199"/>
        <v>17253310.280000001</v>
      </c>
      <c r="L80" s="40">
        <f t="shared" si="199"/>
        <v>17243403.559999999</v>
      </c>
      <c r="M80" s="40">
        <f t="shared" ref="M80:R80" si="200">SUM(M81:M82)</f>
        <v>11276537.359999999</v>
      </c>
      <c r="N80" s="40">
        <f t="shared" si="200"/>
        <v>306408674.88</v>
      </c>
      <c r="O80" s="40">
        <f t="shared" si="200"/>
        <v>116391182.14</v>
      </c>
      <c r="P80" s="40">
        <f t="shared" si="200"/>
        <v>109528401.69999999</v>
      </c>
      <c r="Q80" s="40">
        <f t="shared" si="200"/>
        <v>95388891.5</v>
      </c>
      <c r="R80" s="40">
        <f t="shared" si="200"/>
        <v>83560876.949999884</v>
      </c>
      <c r="S80" s="40">
        <f t="shared" ref="S80:T80" si="201">SUM(S81:S82)</f>
        <v>355088545.99999994</v>
      </c>
      <c r="T80" s="40">
        <f t="shared" si="201"/>
        <v>267999116.04999977</v>
      </c>
      <c r="U80" s="40">
        <f t="shared" ref="U80:X80" si="202">SUM(U81:U82)</f>
        <v>225725113.25999975</v>
      </c>
      <c r="V80" s="40">
        <f t="shared" si="202"/>
        <v>216697578.01999998</v>
      </c>
      <c r="W80" s="40">
        <f t="shared" si="202"/>
        <v>193494596.53999975</v>
      </c>
      <c r="X80" s="40">
        <f t="shared" si="202"/>
        <v>172013294.10999998</v>
      </c>
      <c r="Y80" s="40">
        <f t="shared" ref="Y80:AA80" si="203">SUM(Y81:Y82)</f>
        <v>139193135.16</v>
      </c>
      <c r="Z80" s="40">
        <f t="shared" si="203"/>
        <v>115573624.05999999</v>
      </c>
      <c r="AA80" s="40">
        <f t="shared" si="203"/>
        <v>93212607.450000063</v>
      </c>
      <c r="AB80" s="40">
        <f t="shared" ref="AB80:AG80" si="204">SUM(AB81:AB82)</f>
        <v>476325684.63999993</v>
      </c>
      <c r="AC80" s="40">
        <f t="shared" si="204"/>
        <v>438433546.41000009</v>
      </c>
      <c r="AD80" s="40">
        <f t="shared" si="204"/>
        <v>414306391.89999992</v>
      </c>
      <c r="AE80" s="40">
        <f t="shared" si="204"/>
        <v>390716026.8300001</v>
      </c>
      <c r="AF80" s="40">
        <f t="shared" si="204"/>
        <v>339988242.03000069</v>
      </c>
      <c r="AG80" s="40">
        <f t="shared" si="204"/>
        <v>306201018.80000001</v>
      </c>
      <c r="AH80" s="40">
        <f t="shared" ref="AH80:AJ80" si="205">SUM(AH81:AH82)</f>
        <v>293935987.98000002</v>
      </c>
      <c r="AI80" s="40">
        <f t="shared" si="205"/>
        <v>997875132.81000006</v>
      </c>
      <c r="AJ80" s="40">
        <f t="shared" si="205"/>
        <v>793945441.50999987</v>
      </c>
      <c r="AL80" s="51"/>
    </row>
    <row r="81" spans="1:38" ht="15.75" customHeight="1" x14ac:dyDescent="0.25">
      <c r="B81" s="18" t="s">
        <v>275</v>
      </c>
      <c r="C81" s="8">
        <v>99325952.559999987</v>
      </c>
      <c r="D81" s="8">
        <v>92818223.37999998</v>
      </c>
      <c r="E81" s="8">
        <v>94045846.469999999</v>
      </c>
      <c r="F81" s="8">
        <v>94251043.539999992</v>
      </c>
      <c r="G81" s="8">
        <v>93458633.260000005</v>
      </c>
      <c r="H81" s="8">
        <v>60448820.240000002</v>
      </c>
      <c r="I81" s="8">
        <v>32430313.199999999</v>
      </c>
      <c r="J81" s="8">
        <v>14591966.58</v>
      </c>
      <c r="K81" s="8">
        <v>14712765.66</v>
      </c>
      <c r="L81" s="8">
        <v>14377997.91</v>
      </c>
      <c r="M81" s="8">
        <v>8402164.0999999996</v>
      </c>
      <c r="N81" s="8">
        <v>303502624.02999997</v>
      </c>
      <c r="O81" s="8">
        <v>112927916</v>
      </c>
      <c r="P81" s="8">
        <v>104452920.20999999</v>
      </c>
      <c r="Q81" s="8">
        <v>89232190.959999993</v>
      </c>
      <c r="R81" s="8">
        <v>78555789.160000563</v>
      </c>
      <c r="S81" s="8">
        <v>350109744.84999996</v>
      </c>
      <c r="T81" s="8">
        <v>263550760.58999977</v>
      </c>
      <c r="U81" s="8">
        <v>220501614.07999974</v>
      </c>
      <c r="V81" s="8">
        <v>210045160.45999998</v>
      </c>
      <c r="W81" s="8">
        <v>180378478.31999999</v>
      </c>
      <c r="X81" s="8">
        <v>157370284.59999999</v>
      </c>
      <c r="Y81" s="8">
        <v>126419552.20999999</v>
      </c>
      <c r="Z81" s="8">
        <v>102868131.72999999</v>
      </c>
      <c r="AA81" s="8">
        <f>595284501.95-515705071.64</f>
        <v>79579430.310000062</v>
      </c>
      <c r="AB81" s="8">
        <v>464097569.02999991</v>
      </c>
      <c r="AC81" s="8">
        <v>428821327.00000006</v>
      </c>
      <c r="AD81" s="8">
        <v>402167270.43999994</v>
      </c>
      <c r="AE81" s="8">
        <v>375924302.72000009</v>
      </c>
      <c r="AF81" s="8">
        <v>326970812.0999999</v>
      </c>
      <c r="AG81" s="8">
        <v>289717457.68000001</v>
      </c>
      <c r="AH81" s="8">
        <v>279049236.22000003</v>
      </c>
      <c r="AI81" s="8">
        <v>984515716.57000005</v>
      </c>
      <c r="AJ81" s="8">
        <v>780346965.70999992</v>
      </c>
      <c r="AL81" s="51"/>
    </row>
    <row r="82" spans="1:38" ht="15.75" customHeight="1" x14ac:dyDescent="0.25">
      <c r="B82" s="18" t="s">
        <v>85</v>
      </c>
      <c r="C82" s="8">
        <v>289652.47999999998</v>
      </c>
      <c r="D82" s="8">
        <v>1890088.5799999998</v>
      </c>
      <c r="E82" s="8">
        <v>1890088.5799999998</v>
      </c>
      <c r="F82" s="8">
        <v>1795014.59</v>
      </c>
      <c r="G82" s="8">
        <v>1803544.78</v>
      </c>
      <c r="H82" s="8">
        <v>1816927.9500000002</v>
      </c>
      <c r="I82" s="8">
        <v>2117849.4300000002</v>
      </c>
      <c r="J82" s="8">
        <v>2544918.8199999998</v>
      </c>
      <c r="K82" s="8">
        <v>2540544.62</v>
      </c>
      <c r="L82" s="8">
        <v>2865405.65</v>
      </c>
      <c r="M82" s="8">
        <v>2874373.26</v>
      </c>
      <c r="N82" s="8">
        <v>2906050.85</v>
      </c>
      <c r="O82" s="8">
        <v>3463266.14</v>
      </c>
      <c r="P82" s="8">
        <v>5075481.49</v>
      </c>
      <c r="Q82" s="8">
        <v>6156700.54</v>
      </c>
      <c r="R82" s="8">
        <f>5047396.95-42309.1600006818</f>
        <v>5005087.7899993183</v>
      </c>
      <c r="S82" s="8">
        <v>4978801.1499999994</v>
      </c>
      <c r="T82" s="8">
        <v>4448355.46</v>
      </c>
      <c r="U82" s="8">
        <v>5223499.18</v>
      </c>
      <c r="V82" s="8">
        <v>6652417.5599999987</v>
      </c>
      <c r="W82" s="8">
        <f>9516118.21999975+3600000</f>
        <v>13116118.219999749</v>
      </c>
      <c r="X82" s="8">
        <v>14643009.51</v>
      </c>
      <c r="Y82" s="8">
        <v>12773582.949999999</v>
      </c>
      <c r="Z82" s="8">
        <v>12705492.329999998</v>
      </c>
      <c r="AA82" s="8">
        <v>13633177.140000001</v>
      </c>
      <c r="AB82" s="8">
        <v>12228115.609999999</v>
      </c>
      <c r="AC82" s="8">
        <v>9612219.4100000001</v>
      </c>
      <c r="AD82" s="8">
        <v>12139121.459999999</v>
      </c>
      <c r="AE82" s="8">
        <v>14791724.109999999</v>
      </c>
      <c r="AF82" s="8">
        <v>13017429.930000801</v>
      </c>
      <c r="AG82" s="8">
        <v>16483561.119999999</v>
      </c>
      <c r="AH82" s="8">
        <v>14886751.759999998</v>
      </c>
      <c r="AI82" s="8">
        <v>13359416.24</v>
      </c>
      <c r="AJ82" s="8">
        <v>13598475.800000001</v>
      </c>
      <c r="AL82" s="51"/>
    </row>
    <row r="83" spans="1:38" s="7" customFormat="1" ht="15.75" customHeight="1" x14ac:dyDescent="0.25">
      <c r="A83" s="6"/>
      <c r="B83" s="44" t="s">
        <v>86</v>
      </c>
      <c r="C83" s="41">
        <f>SUM(C84:C85)</f>
        <v>255556059.40000001</v>
      </c>
      <c r="D83" s="41">
        <f t="shared" ref="D83:F83" si="206">SUM(D84:D85)</f>
        <v>258549218.62</v>
      </c>
      <c r="E83" s="41">
        <f t="shared" si="206"/>
        <v>258549218.62</v>
      </c>
      <c r="F83" s="41">
        <f t="shared" si="206"/>
        <v>258549218.62</v>
      </c>
      <c r="G83" s="41">
        <f>SUM(G84:G85)</f>
        <v>258549218.62</v>
      </c>
      <c r="H83" s="41">
        <f>SUM(H84:H85)</f>
        <v>305382794.13999999</v>
      </c>
      <c r="I83" s="41">
        <f>SUM(I84:I85)</f>
        <v>343382794.14000005</v>
      </c>
      <c r="J83" s="41">
        <f t="shared" ref="J83:L83" si="207">SUM(J84:J85)</f>
        <v>554400000</v>
      </c>
      <c r="K83" s="41">
        <f t="shared" si="207"/>
        <v>554400000</v>
      </c>
      <c r="L83" s="41">
        <f t="shared" si="207"/>
        <v>554400000</v>
      </c>
      <c r="M83" s="41">
        <f t="shared" ref="M83:R83" si="208">SUM(M84:M85)</f>
        <v>554400000</v>
      </c>
      <c r="N83" s="41">
        <f t="shared" si="208"/>
        <v>554441868.75</v>
      </c>
      <c r="O83" s="41">
        <f t="shared" si="208"/>
        <v>728461269.5</v>
      </c>
      <c r="P83" s="41">
        <f t="shared" si="208"/>
        <v>728562891.5</v>
      </c>
      <c r="Q83" s="41">
        <f t="shared" si="208"/>
        <v>729259731.22000003</v>
      </c>
      <c r="R83" s="41">
        <f t="shared" si="208"/>
        <v>733472794.17999995</v>
      </c>
      <c r="S83" s="41">
        <f t="shared" ref="S83:T83" si="209">SUM(S84:S85)</f>
        <v>1607054327.3499999</v>
      </c>
      <c r="T83" s="41">
        <f t="shared" si="209"/>
        <v>1676778204.3099999</v>
      </c>
      <c r="U83" s="41">
        <f t="shared" ref="U83:X83" si="210">SUM(U84:U85)</f>
        <v>1849600666.54</v>
      </c>
      <c r="V83" s="41">
        <f t="shared" si="210"/>
        <v>1852600666.54</v>
      </c>
      <c r="W83" s="41">
        <f t="shared" si="210"/>
        <v>1852602649.9200001</v>
      </c>
      <c r="X83" s="41">
        <f t="shared" si="210"/>
        <v>1852597116.5500002</v>
      </c>
      <c r="Y83" s="41">
        <f t="shared" ref="Y83:AA83" si="211">SUM(Y84:Y85)</f>
        <v>1852597116.5500002</v>
      </c>
      <c r="Z83" s="41">
        <f t="shared" si="211"/>
        <v>1854821059.0799999</v>
      </c>
      <c r="AA83" s="41">
        <f t="shared" si="211"/>
        <v>1855045001.6100001</v>
      </c>
      <c r="AB83" s="41">
        <f t="shared" ref="AB83:AG83" si="212">SUM(AB84:AB85)</f>
        <v>2069489875.5600007</v>
      </c>
      <c r="AC83" s="41">
        <f t="shared" si="212"/>
        <v>2087451470.6499999</v>
      </c>
      <c r="AD83" s="41">
        <f t="shared" si="212"/>
        <v>2110689164.52</v>
      </c>
      <c r="AE83" s="41">
        <f t="shared" si="212"/>
        <v>2109813273.3</v>
      </c>
      <c r="AF83" s="41">
        <f t="shared" si="212"/>
        <v>2121928177.5900002</v>
      </c>
      <c r="AG83" s="41">
        <f t="shared" si="212"/>
        <v>2125325358.96</v>
      </c>
      <c r="AH83" s="41">
        <f t="shared" ref="AH83:AJ83" si="213">SUM(AH84:AH85)</f>
        <v>2118407703.5799999</v>
      </c>
      <c r="AI83" s="41">
        <f t="shared" si="213"/>
        <v>2119411741.46</v>
      </c>
      <c r="AJ83" s="41">
        <f t="shared" si="213"/>
        <v>2307910487.1700001</v>
      </c>
      <c r="AL83" s="51"/>
    </row>
    <row r="84" spans="1:38" ht="15.75" customHeight="1" x14ac:dyDescent="0.25">
      <c r="B84" s="18" t="s">
        <v>153</v>
      </c>
      <c r="C84" s="8">
        <v>255556059.40000001</v>
      </c>
      <c r="D84" s="8">
        <v>258549218.62</v>
      </c>
      <c r="E84" s="8">
        <v>258549218.62</v>
      </c>
      <c r="F84" s="8">
        <v>258549218.62</v>
      </c>
      <c r="G84" s="8">
        <v>258549218.62</v>
      </c>
      <c r="H84" s="8">
        <v>305382794.13999999</v>
      </c>
      <c r="I84" s="8">
        <v>343382794.14000005</v>
      </c>
      <c r="J84" s="8">
        <v>554400000</v>
      </c>
      <c r="K84" s="8">
        <v>554400000</v>
      </c>
      <c r="L84" s="8">
        <v>554400000</v>
      </c>
      <c r="M84" s="8">
        <v>554400000</v>
      </c>
      <c r="N84" s="8">
        <v>554441868.75</v>
      </c>
      <c r="O84" s="8">
        <v>728461269.5</v>
      </c>
      <c r="P84" s="8">
        <v>728562891.5</v>
      </c>
      <c r="Q84" s="8">
        <v>729259731.22000003</v>
      </c>
      <c r="R84" s="8">
        <v>733472794.17999995</v>
      </c>
      <c r="S84" s="8">
        <v>1607054327.3499999</v>
      </c>
      <c r="T84" s="8">
        <v>1676778204.3099999</v>
      </c>
      <c r="U84" s="8">
        <v>1849600666.54</v>
      </c>
      <c r="V84" s="8">
        <v>1852600666.54</v>
      </c>
      <c r="W84" s="8">
        <v>1852602649.9200001</v>
      </c>
      <c r="X84" s="8">
        <v>1852597116.5500002</v>
      </c>
      <c r="Y84" s="8">
        <v>1852597116.5500002</v>
      </c>
      <c r="Z84" s="8">
        <v>1854821059.0799999</v>
      </c>
      <c r="AA84" s="8">
        <v>1855045001.6100001</v>
      </c>
      <c r="AB84" s="8">
        <v>2069489875.5600007</v>
      </c>
      <c r="AC84" s="8">
        <v>2087451470.6499999</v>
      </c>
      <c r="AD84" s="8">
        <v>2110689164.52</v>
      </c>
      <c r="AE84" s="8">
        <v>2109813273.3</v>
      </c>
      <c r="AF84" s="8">
        <v>2121928177.5900002</v>
      </c>
      <c r="AG84" s="8">
        <v>2125325358.96</v>
      </c>
      <c r="AH84" s="8">
        <v>2118407703.5799999</v>
      </c>
      <c r="AI84" s="8">
        <v>2119411741.46</v>
      </c>
      <c r="AJ84" s="8">
        <v>2307910487.1700001</v>
      </c>
      <c r="AL84" s="51"/>
    </row>
    <row r="85" spans="1:38" ht="15.75" customHeight="1" x14ac:dyDescent="0.25">
      <c r="B85" s="18" t="s">
        <v>87</v>
      </c>
      <c r="C85" s="8">
        <v>0</v>
      </c>
      <c r="D85" s="8">
        <v>0</v>
      </c>
      <c r="E85" s="8">
        <v>0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L85" s="51"/>
    </row>
    <row r="86" spans="1:38" s="7" customFormat="1" ht="15.75" customHeight="1" x14ac:dyDescent="0.25">
      <c r="A86" s="6"/>
      <c r="B86" s="44" t="s">
        <v>89</v>
      </c>
      <c r="C86" s="41">
        <v>7785922.0800000001</v>
      </c>
      <c r="D86" s="41">
        <v>4506073.3899999997</v>
      </c>
      <c r="E86" s="41">
        <v>3884533.32</v>
      </c>
      <c r="F86" s="41">
        <v>2879174.94</v>
      </c>
      <c r="G86" s="41">
        <v>2495871.2799999998</v>
      </c>
      <c r="H86" s="41">
        <v>16079978.83</v>
      </c>
      <c r="I86" s="41">
        <v>26164386.49000001</v>
      </c>
      <c r="J86" s="47">
        <f>2452970.5+38938.59+636489.31</f>
        <v>3128398.4</v>
      </c>
      <c r="K86" s="41">
        <f>2452970.5+502153.11</f>
        <v>2955123.61</v>
      </c>
      <c r="L86" s="41">
        <v>552363.71</v>
      </c>
      <c r="M86" s="41">
        <v>571453.55000000005</v>
      </c>
      <c r="N86" s="41">
        <v>601777.25</v>
      </c>
      <c r="O86" s="41">
        <v>947457.79</v>
      </c>
      <c r="P86" s="41">
        <f>72562.08+173788764.27*0+4585.09</f>
        <v>77147.17</v>
      </c>
      <c r="Q86" s="41">
        <v>4192630.0899999738</v>
      </c>
      <c r="R86" s="41">
        <v>4335699.7699999996</v>
      </c>
      <c r="S86" s="41">
        <f>651157.55+8186.04999989271+9772464.64</f>
        <v>10431808.239999894</v>
      </c>
      <c r="T86" s="41">
        <f>744722.57+9772464.63999993</f>
        <v>10517187.20999993</v>
      </c>
      <c r="U86" s="41">
        <v>11284090.000000099</v>
      </c>
      <c r="V86" s="41">
        <v>841999.46000051103</v>
      </c>
      <c r="W86" s="41">
        <v>10360442.249999801</v>
      </c>
      <c r="X86" s="41">
        <v>9806335.0800002497</v>
      </c>
      <c r="Y86" s="41">
        <v>8291016.8799994756</v>
      </c>
      <c r="Z86" s="41">
        <v>9086345.0700000003</v>
      </c>
      <c r="AA86" s="41">
        <f>526641939.86-515705071.64</f>
        <v>10936868.220000029</v>
      </c>
      <c r="AB86" s="41">
        <v>15045310.539999999</v>
      </c>
      <c r="AC86" s="41">
        <v>13351113.109999999</v>
      </c>
      <c r="AD86" s="41">
        <v>13453204.979999999</v>
      </c>
      <c r="AE86" s="41">
        <v>13494156.59</v>
      </c>
      <c r="AF86" s="41">
        <v>13451233.139999999</v>
      </c>
      <c r="AG86" s="41">
        <v>13756629.129999999</v>
      </c>
      <c r="AH86" s="41">
        <v>13795753.699999999</v>
      </c>
      <c r="AI86" s="41">
        <v>16854958.07</v>
      </c>
      <c r="AJ86" s="41">
        <v>17706502.530000001</v>
      </c>
      <c r="AL86" s="51"/>
    </row>
    <row r="87" spans="1:38" s="7" customFormat="1" ht="15.75" customHeight="1" x14ac:dyDescent="0.25">
      <c r="A87" s="6"/>
      <c r="B87" s="44" t="s">
        <v>90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205296586.22</v>
      </c>
      <c r="K87" s="41">
        <v>205296586.22</v>
      </c>
      <c r="L87" s="41">
        <v>205296586.22</v>
      </c>
      <c r="M87" s="41">
        <v>199319852.43000001</v>
      </c>
      <c r="N87" s="41">
        <v>196289954.41999999</v>
      </c>
      <c r="O87" s="41">
        <v>181961749.02000001</v>
      </c>
      <c r="P87" s="41">
        <v>173788764.27000001</v>
      </c>
      <c r="Q87" s="41">
        <v>160369302.61000001</v>
      </c>
      <c r="R87" s="41">
        <f>152803189.23-R86</f>
        <v>148467489.45999998</v>
      </c>
      <c r="S87" s="41">
        <f>459309138.5-9772464.64</f>
        <v>449536673.86000001</v>
      </c>
      <c r="T87" s="41">
        <v>441964295.69</v>
      </c>
      <c r="U87" s="41">
        <v>421987324.12</v>
      </c>
      <c r="V87" s="41">
        <v>397271406.14999998</v>
      </c>
      <c r="W87" s="41">
        <v>368862043.20999998</v>
      </c>
      <c r="X87" s="41">
        <v>344177537.10000002</v>
      </c>
      <c r="Y87" s="41">
        <v>314040013.88999999</v>
      </c>
      <c r="Z87" s="41">
        <v>292512338.88999999</v>
      </c>
      <c r="AA87" s="41">
        <v>270248983.97999996</v>
      </c>
      <c r="AB87" s="41">
        <v>263175956.93000001</v>
      </c>
      <c r="AC87" s="41">
        <v>245997190.72999954</v>
      </c>
      <c r="AD87" s="41">
        <v>249111624.95999956</v>
      </c>
      <c r="AE87" s="41">
        <v>225324535.57000002</v>
      </c>
      <c r="AF87" s="41">
        <v>184247013.84</v>
      </c>
      <c r="AG87" s="41">
        <v>148393651.80999947</v>
      </c>
      <c r="AH87" s="41">
        <v>135685936.22000027</v>
      </c>
      <c r="AI87" s="41">
        <v>120763618.17000008</v>
      </c>
      <c r="AJ87" s="41">
        <v>91585290.329999924</v>
      </c>
      <c r="AK87" s="51" t="s">
        <v>157</v>
      </c>
      <c r="AL87" s="51"/>
    </row>
    <row r="88" spans="1:38" s="7" customFormat="1" ht="15.75" customHeight="1" x14ac:dyDescent="0.25">
      <c r="A88" s="6"/>
      <c r="B88" s="44" t="s">
        <v>88</v>
      </c>
      <c r="C88" s="41">
        <v>347385742.36000001</v>
      </c>
      <c r="D88" s="41">
        <v>348751457.19</v>
      </c>
      <c r="E88" s="41">
        <v>350600620.35000002</v>
      </c>
      <c r="F88" s="41">
        <v>351716101.81</v>
      </c>
      <c r="G88" s="41">
        <v>351315525.38</v>
      </c>
      <c r="H88" s="41">
        <v>351568563.5</v>
      </c>
      <c r="I88" s="45">
        <v>351766570.27999997</v>
      </c>
      <c r="J88" s="45">
        <v>363111900.77999997</v>
      </c>
      <c r="K88" s="45">
        <v>363401600.44999999</v>
      </c>
      <c r="L88" s="45">
        <v>365794453.63</v>
      </c>
      <c r="M88" s="45">
        <v>365785231.38</v>
      </c>
      <c r="N88" s="45">
        <v>663958811.96000004</v>
      </c>
      <c r="O88" s="45">
        <v>661943244.83000004</v>
      </c>
      <c r="P88" s="45">
        <v>664225381.75999999</v>
      </c>
      <c r="Q88" s="45">
        <v>660086690.01999998</v>
      </c>
      <c r="R88" s="45">
        <v>664230481.89999998</v>
      </c>
      <c r="S88" s="46">
        <v>1502174391.25</v>
      </c>
      <c r="T88" s="46">
        <v>1492295837.4599998</v>
      </c>
      <c r="U88" s="46">
        <v>1642054365.6799998</v>
      </c>
      <c r="V88" s="46">
        <v>1671184838.9499996</v>
      </c>
      <c r="W88" s="46">
        <v>1666874761</v>
      </c>
      <c r="X88" s="46">
        <v>1670626538.48</v>
      </c>
      <c r="Y88" s="46">
        <v>1669459220.9400001</v>
      </c>
      <c r="Z88" s="46">
        <v>1668795999.1800001</v>
      </c>
      <c r="AA88" s="46">
        <v>1667071756.8599999</v>
      </c>
      <c r="AB88" s="46">
        <v>2267594292.73</v>
      </c>
      <c r="AC88" s="46">
        <v>2266536713.2199998</v>
      </c>
      <c r="AD88" s="46">
        <v>2262430726.48</v>
      </c>
      <c r="AE88" s="46">
        <v>2261710607.9699998</v>
      </c>
      <c r="AF88" s="46">
        <v>2264218172.6400003</v>
      </c>
      <c r="AG88" s="46">
        <v>2269376096.8200002</v>
      </c>
      <c r="AH88" s="46">
        <v>2262862001.6399999</v>
      </c>
      <c r="AI88" s="46">
        <v>2979668298.0300002</v>
      </c>
      <c r="AJ88" s="46">
        <v>2992564135.8200002</v>
      </c>
      <c r="AL88" s="51"/>
    </row>
    <row r="89" spans="1:38" ht="15.75" customHeight="1" x14ac:dyDescent="0.25">
      <c r="B89" s="11" t="s">
        <v>156</v>
      </c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</row>
    <row r="90" spans="1:38" ht="15.75" customHeight="1" x14ac:dyDescent="0.25">
      <c r="B90" s="11" t="s">
        <v>276</v>
      </c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</row>
    <row r="91" spans="1:38" ht="15.75" customHeight="1" x14ac:dyDescent="0.25"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</row>
    <row r="92" spans="1:38" ht="15.75" customHeight="1" x14ac:dyDescent="0.25">
      <c r="B92" s="16" t="s">
        <v>91</v>
      </c>
      <c r="C92" s="31"/>
      <c r="D92" s="32"/>
      <c r="E92" s="32"/>
      <c r="F92" s="31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</row>
    <row r="93" spans="1:38" ht="15.75" customHeight="1" x14ac:dyDescent="0.25">
      <c r="B93" s="17" t="s">
        <v>92</v>
      </c>
      <c r="C93" s="33">
        <f t="shared" ref="C93:AD93" si="214">IFERROR(C53/C32,0)</f>
        <v>0</v>
      </c>
      <c r="D93" s="33">
        <f t="shared" si="214"/>
        <v>1.6243411772213832</v>
      </c>
      <c r="E93" s="33">
        <f t="shared" si="214"/>
        <v>1.0979764232662161</v>
      </c>
      <c r="F93" s="33">
        <f t="shared" si="214"/>
        <v>1.4399671388952573</v>
      </c>
      <c r="G93" s="33">
        <f t="shared" si="214"/>
        <v>1.1920377916702065</v>
      </c>
      <c r="H93" s="33">
        <f t="shared" si="214"/>
        <v>1.0709432591721397</v>
      </c>
      <c r="I93" s="33">
        <f t="shared" si="214"/>
        <v>1.0411348966207981</v>
      </c>
      <c r="J93" s="33">
        <f t="shared" si="214"/>
        <v>0.97577809511079061</v>
      </c>
      <c r="K93" s="33">
        <f t="shared" si="214"/>
        <v>0.98597727049516914</v>
      </c>
      <c r="L93" s="33">
        <f t="shared" si="214"/>
        <v>0.9793192584819127</v>
      </c>
      <c r="M93" s="33">
        <f t="shared" si="214"/>
        <v>0.97875899512717246</v>
      </c>
      <c r="N93" s="33">
        <f t="shared" si="214"/>
        <v>0.97427698733804979</v>
      </c>
      <c r="O93" s="33">
        <f t="shared" si="214"/>
        <v>0.99582727106738167</v>
      </c>
      <c r="P93" s="33">
        <f t="shared" si="214"/>
        <v>0.93866569148006573</v>
      </c>
      <c r="Q93" s="33">
        <f t="shared" si="214"/>
        <v>0.8901167253172042</v>
      </c>
      <c r="R93" s="33">
        <f t="shared" si="214"/>
        <v>0.93497775473519662</v>
      </c>
      <c r="S93" s="33">
        <f t="shared" si="214"/>
        <v>0.99786977536762989</v>
      </c>
      <c r="T93" s="33">
        <f t="shared" si="214"/>
        <v>0.89816663009467157</v>
      </c>
      <c r="U93" s="33">
        <f t="shared" si="214"/>
        <v>0.89235314618003481</v>
      </c>
      <c r="V93" s="33">
        <f t="shared" si="214"/>
        <v>0.87469873611200855</v>
      </c>
      <c r="W93" s="33">
        <f t="shared" si="214"/>
        <v>0.83905621904645478</v>
      </c>
      <c r="X93" s="33">
        <f t="shared" si="214"/>
        <v>0.88355555262612762</v>
      </c>
      <c r="Y93" s="33">
        <f t="shared" si="214"/>
        <v>0.85916909597334146</v>
      </c>
      <c r="Z93" s="33">
        <f t="shared" si="214"/>
        <v>0.87983362447085667</v>
      </c>
      <c r="AA93" s="33">
        <f t="shared" si="214"/>
        <v>0.84923239022069397</v>
      </c>
      <c r="AB93" s="33">
        <f t="shared" si="214"/>
        <v>0.92966486788949021</v>
      </c>
      <c r="AC93" s="33">
        <f t="shared" si="214"/>
        <v>0.85182948191656749</v>
      </c>
      <c r="AD93" s="33">
        <f t="shared" si="214"/>
        <v>0.8683510038560871</v>
      </c>
      <c r="AE93" s="33">
        <f t="shared" ref="AE93:AG93" si="215">IFERROR(AE53/AE32,0)</f>
        <v>0.92157054997563137</v>
      </c>
      <c r="AF93" s="33">
        <f t="shared" si="215"/>
        <v>0.86888000865003201</v>
      </c>
      <c r="AG93" s="33">
        <f t="shared" si="215"/>
        <v>0.89537312831844929</v>
      </c>
      <c r="AH93" s="33">
        <f t="shared" ref="AH93:AJ93" si="216">IFERROR(AH53/AH32,0)</f>
        <v>0.93110817804096002</v>
      </c>
      <c r="AI93" s="33">
        <f t="shared" si="216"/>
        <v>0.94779494327271907</v>
      </c>
      <c r="AJ93" s="33">
        <f t="shared" si="216"/>
        <v>0.91186125760224512</v>
      </c>
    </row>
    <row r="94" spans="1:38" ht="15.75" customHeight="1" x14ac:dyDescent="0.25">
      <c r="B94" s="18" t="s">
        <v>93</v>
      </c>
      <c r="C94" s="26">
        <f t="shared" ref="C94:X94" si="217">C53/C88</f>
        <v>3.4154131369474533E-3</v>
      </c>
      <c r="D94" s="26">
        <f t="shared" si="217"/>
        <v>1.4079609397168211E-3</v>
      </c>
      <c r="E94" s="26">
        <f t="shared" si="217"/>
        <v>5.2932441825432122E-3</v>
      </c>
      <c r="F94" s="26">
        <f t="shared" si="217"/>
        <v>7.3489694238911829E-3</v>
      </c>
      <c r="G94" s="26">
        <f t="shared" si="217"/>
        <v>6.0906607480838348E-3</v>
      </c>
      <c r="H94" s="26">
        <f t="shared" si="217"/>
        <v>6.8096252740839731E-3</v>
      </c>
      <c r="I94" s="26">
        <f t="shared" si="217"/>
        <v>6.7133404526737682E-3</v>
      </c>
      <c r="J94" s="26">
        <f t="shared" si="217"/>
        <v>6.8159497039382367E-3</v>
      </c>
      <c r="K94" s="26">
        <f t="shared" si="217"/>
        <v>6.8691196070121427E-3</v>
      </c>
      <c r="L94" s="26">
        <f t="shared" si="217"/>
        <v>6.790595905924829E-3</v>
      </c>
      <c r="M94" s="26">
        <f t="shared" si="217"/>
        <v>6.7868821499240646E-3</v>
      </c>
      <c r="N94" s="26">
        <f t="shared" si="217"/>
        <v>3.754231963500138E-3</v>
      </c>
      <c r="O94" s="26">
        <f t="shared" si="217"/>
        <v>5.7418491496065869E-3</v>
      </c>
      <c r="P94" s="26">
        <f t="shared" si="217"/>
        <v>6.7063876454847579E-3</v>
      </c>
      <c r="Q94" s="26">
        <f t="shared" si="217"/>
        <v>5.8218130590461598E-3</v>
      </c>
      <c r="R94" s="26">
        <f t="shared" si="217"/>
        <v>6.1474720533563438E-3</v>
      </c>
      <c r="S94" s="26">
        <f t="shared" si="217"/>
        <v>6.5280415462215082E-3</v>
      </c>
      <c r="T94" s="26">
        <f t="shared" si="217"/>
        <v>6.6550144655445004E-3</v>
      </c>
      <c r="U94" s="26">
        <f t="shared" si="217"/>
        <v>5.945479784225707E-3</v>
      </c>
      <c r="V94" s="26">
        <f t="shared" si="217"/>
        <v>6.1053013770221657E-3</v>
      </c>
      <c r="W94" s="26">
        <f t="shared" si="217"/>
        <v>4.8067049199819779E-3</v>
      </c>
      <c r="X94" s="26">
        <f t="shared" si="217"/>
        <v>6.9019667002318081E-3</v>
      </c>
      <c r="Y94" s="26">
        <f t="shared" ref="Y94:AA94" si="218">Y53/Y88</f>
        <v>4.9733911353495421E-3</v>
      </c>
      <c r="Z94" s="26">
        <f t="shared" si="218"/>
        <v>5.0449304205633658E-3</v>
      </c>
      <c r="AA94" s="26">
        <f t="shared" si="218"/>
        <v>4.3978690861410704E-3</v>
      </c>
      <c r="AB94" s="26">
        <f t="shared" ref="AB94:AD94" si="219">AB53/AB88</f>
        <v>5.9045641068650187E-3</v>
      </c>
      <c r="AC94" s="26">
        <f t="shared" si="219"/>
        <v>4.826175421766575E-3</v>
      </c>
      <c r="AD94" s="26">
        <f t="shared" si="219"/>
        <v>4.8973122927895652E-3</v>
      </c>
      <c r="AE94" s="26">
        <f t="shared" ref="AE94:AG94" si="220">AE53/AE88</f>
        <v>5.0804749520968811E-3</v>
      </c>
      <c r="AF94" s="26">
        <f t="shared" si="220"/>
        <v>4.8173016152837792E-3</v>
      </c>
      <c r="AG94" s="26">
        <f t="shared" si="220"/>
        <v>6.5659114197288071E-3</v>
      </c>
      <c r="AH94" s="26">
        <f t="shared" ref="AH94:AJ94" si="221">AH53/AH88</f>
        <v>5.8101792555170237E-3</v>
      </c>
      <c r="AI94" s="26">
        <f t="shared" si="221"/>
        <v>4.6400798781775342E-3</v>
      </c>
      <c r="AJ94" s="26">
        <f t="shared" si="221"/>
        <v>5.396304535195161E-3</v>
      </c>
    </row>
    <row r="95" spans="1:38" ht="15.75" customHeight="1" x14ac:dyDescent="0.25">
      <c r="V95" s="43"/>
      <c r="W95" s="43"/>
    </row>
    <row r="96" spans="1:38" ht="15.75" customHeight="1" x14ac:dyDescent="0.25">
      <c r="B96" s="16" t="s">
        <v>94</v>
      </c>
      <c r="C96" s="31"/>
      <c r="D96" s="32"/>
      <c r="E96" s="32"/>
      <c r="F96" s="31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</row>
    <row r="97" spans="2:36" ht="15.75" customHeight="1" x14ac:dyDescent="0.25">
      <c r="B97" s="17" t="s">
        <v>95</v>
      </c>
      <c r="C97" s="33">
        <f t="shared" ref="C97:X97" si="222">SUM(C86:C87)/SUM(C80,C83)</f>
        <v>2.1921574437184007E-2</v>
      </c>
      <c r="D97" s="33">
        <f t="shared" si="222"/>
        <v>1.2755774470261542E-2</v>
      </c>
      <c r="E97" s="33">
        <f t="shared" si="222"/>
        <v>1.0958239801535437E-2</v>
      </c>
      <c r="F97" s="33">
        <f t="shared" si="222"/>
        <v>8.1196088295048055E-3</v>
      </c>
      <c r="G97" s="33">
        <f t="shared" si="222"/>
        <v>7.0542421854162089E-3</v>
      </c>
      <c r="H97" s="33">
        <f t="shared" si="222"/>
        <v>4.373736593131021E-2</v>
      </c>
      <c r="I97" s="33">
        <f t="shared" si="222"/>
        <v>6.9230598926361686E-2</v>
      </c>
      <c r="J97" s="33">
        <f t="shared" si="222"/>
        <v>0.36467459921528977</v>
      </c>
      <c r="K97" s="33">
        <f t="shared" si="222"/>
        <v>0.36429721666091081</v>
      </c>
      <c r="L97" s="33">
        <f t="shared" si="222"/>
        <v>0.36010028043364628</v>
      </c>
      <c r="M97" s="33">
        <f t="shared" si="222"/>
        <v>0.35336679670839516</v>
      </c>
      <c r="N97" s="33">
        <f t="shared" si="222"/>
        <v>0.228717671292574</v>
      </c>
      <c r="O97" s="33">
        <f t="shared" si="222"/>
        <v>0.21649840330692374</v>
      </c>
      <c r="P97" s="33">
        <f t="shared" si="222"/>
        <v>0.20745462081600347</v>
      </c>
      <c r="Q97" s="33">
        <f t="shared" si="222"/>
        <v>0.1995540017482999</v>
      </c>
      <c r="R97" s="33">
        <f t="shared" si="222"/>
        <v>0.18702189962216031</v>
      </c>
      <c r="S97" s="33">
        <f t="shared" si="222"/>
        <v>0.23442150332034073</v>
      </c>
      <c r="T97" s="33">
        <f t="shared" si="222"/>
        <v>0.23266493195027624</v>
      </c>
      <c r="U97" s="33">
        <f t="shared" si="222"/>
        <v>0.20877272298027094</v>
      </c>
      <c r="V97" s="33">
        <f t="shared" si="222"/>
        <v>0.1923905394771416</v>
      </c>
      <c r="W97" s="33">
        <f t="shared" si="222"/>
        <v>0.18533942417258095</v>
      </c>
      <c r="X97" s="33">
        <f t="shared" si="222"/>
        <v>0.17484048798534307</v>
      </c>
      <c r="Y97" s="33">
        <f t="shared" ref="Y97:AA97" si="223">SUM(Y86:Y87)/SUM(Y80,Y83)</f>
        <v>0.16182980637307087</v>
      </c>
      <c r="Z97" s="33">
        <f t="shared" si="223"/>
        <v>0.15306511255875677</v>
      </c>
      <c r="AA97" s="33">
        <f t="shared" si="223"/>
        <v>0.14432683382957101</v>
      </c>
      <c r="AB97" s="33">
        <f t="shared" ref="AB97:AD97" si="224">SUM(AB86:AB87)/SUM(AB80,AB83)</f>
        <v>0.10928571253140695</v>
      </c>
      <c r="AC97" s="33">
        <f t="shared" si="224"/>
        <v>0.10267621134309099</v>
      </c>
      <c r="AD97" s="33">
        <f t="shared" si="224"/>
        <v>0.10398625426187694</v>
      </c>
      <c r="AE97" s="33">
        <f t="shared" ref="AE97:AG97" si="225">SUM(AE86:AE87)/SUM(AE80,AE83)</f>
        <v>9.5507256062780016E-2</v>
      </c>
      <c r="AF97" s="33">
        <f t="shared" si="225"/>
        <v>8.0302582737766096E-2</v>
      </c>
      <c r="AG97" s="33">
        <f t="shared" si="225"/>
        <v>6.6686622206984847E-2</v>
      </c>
      <c r="AH97" s="33">
        <f t="shared" ref="AH97:AJ97" si="226">SUM(AH86:AH87)/SUM(AH80,AH83)</f>
        <v>6.1965337046701804E-2</v>
      </c>
      <c r="AI97" s="33">
        <f t="shared" si="226"/>
        <v>4.4146907804956934E-2</v>
      </c>
      <c r="AJ97" s="33">
        <f t="shared" si="226"/>
        <v>3.5234322732232516E-2</v>
      </c>
    </row>
    <row r="98" spans="2:36" ht="15.75" customHeight="1" x14ac:dyDescent="0.25">
      <c r="B98" s="18" t="s">
        <v>96</v>
      </c>
      <c r="C98" s="26">
        <f t="shared" ref="C98:X98" si="227">C84/C88</f>
        <v>0.73565500317846722</v>
      </c>
      <c r="D98" s="26">
        <f t="shared" si="227"/>
        <v>0.74135666902501929</v>
      </c>
      <c r="E98" s="26">
        <f t="shared" si="227"/>
        <v>0.73744655203945075</v>
      </c>
      <c r="F98" s="26">
        <f t="shared" si="227"/>
        <v>0.73510771127467589</v>
      </c>
      <c r="G98" s="26">
        <f t="shared" si="227"/>
        <v>0.73594589462091253</v>
      </c>
      <c r="H98" s="26">
        <f t="shared" si="227"/>
        <v>0.86862941071806032</v>
      </c>
      <c r="I98" s="26">
        <f t="shared" si="227"/>
        <v>0.9761666489987193</v>
      </c>
      <c r="J98" s="26">
        <f t="shared" si="227"/>
        <v>1.5268020651735579</v>
      </c>
      <c r="K98" s="26">
        <f t="shared" si="227"/>
        <v>1.5255849157336865</v>
      </c>
      <c r="L98" s="26">
        <f t="shared" si="227"/>
        <v>1.5156052654663101</v>
      </c>
      <c r="M98" s="26">
        <f t="shared" si="227"/>
        <v>1.5156434772076828</v>
      </c>
      <c r="N98" s="26">
        <f t="shared" si="227"/>
        <v>0.83505461297108619</v>
      </c>
      <c r="O98" s="26">
        <f t="shared" si="227"/>
        <v>1.1004890150168132</v>
      </c>
      <c r="P98" s="26">
        <f t="shared" si="227"/>
        <v>1.0968609624183958</v>
      </c>
      <c r="Q98" s="26">
        <f t="shared" si="227"/>
        <v>1.1047938736621157</v>
      </c>
      <c r="R98" s="26">
        <f t="shared" si="227"/>
        <v>1.1042444063722212</v>
      </c>
      <c r="S98" s="26">
        <f t="shared" si="227"/>
        <v>1.0698187485493789</v>
      </c>
      <c r="T98" s="26">
        <f t="shared" si="227"/>
        <v>1.1236231866491051</v>
      </c>
      <c r="U98" s="26">
        <f t="shared" si="227"/>
        <v>1.126394293147567</v>
      </c>
      <c r="V98" s="26">
        <f t="shared" si="227"/>
        <v>1.108555213858919</v>
      </c>
      <c r="W98" s="26">
        <f t="shared" si="227"/>
        <v>1.1114228214773481</v>
      </c>
      <c r="X98" s="26">
        <f t="shared" si="227"/>
        <v>1.108923552857938</v>
      </c>
      <c r="Y98" s="26">
        <f t="shared" ref="Y98:AA98" si="228">Y84/Y88</f>
        <v>1.1096989332311353</v>
      </c>
      <c r="Z98" s="26">
        <f t="shared" si="228"/>
        <v>1.11147261857735</v>
      </c>
      <c r="AA98" s="26">
        <f t="shared" si="228"/>
        <v>1.1127565409086264</v>
      </c>
      <c r="AB98" s="26">
        <f t="shared" ref="AB98:AD98" si="229">AB84/AB88</f>
        <v>0.9126367455566764</v>
      </c>
      <c r="AC98" s="26">
        <f t="shared" si="229"/>
        <v>0.92098727475912845</v>
      </c>
      <c r="AD98" s="26">
        <f t="shared" si="229"/>
        <v>0.93292985275350859</v>
      </c>
      <c r="AE98" s="26">
        <f t="shared" ref="AE98:AG98" si="230">AE84/AE88</f>
        <v>0.93283962407271215</v>
      </c>
      <c r="AF98" s="26">
        <f t="shared" si="230"/>
        <v>0.93715711817466119</v>
      </c>
      <c r="AG98" s="26">
        <f t="shared" si="230"/>
        <v>0.93652407899164292</v>
      </c>
      <c r="AH98" s="26">
        <f t="shared" ref="AH98:AJ98" si="231">AH84/AH88</f>
        <v>0.93616301040217775</v>
      </c>
      <c r="AI98" s="26">
        <f t="shared" si="231"/>
        <v>0.71129116716154062</v>
      </c>
      <c r="AJ98" s="26">
        <f t="shared" si="231"/>
        <v>0.77121504583480005</v>
      </c>
    </row>
    <row r="100" spans="2:36" ht="15.75" customHeight="1" x14ac:dyDescent="0.25">
      <c r="B100" s="11" t="s">
        <v>152</v>
      </c>
      <c r="C100" s="39">
        <f>(C80+C83)-SUM(C86:C88)</f>
        <v>0</v>
      </c>
      <c r="D100" s="39">
        <f t="shared" ref="D100:X100" si="232">(D80+D83)-SUM(D86:D88)</f>
        <v>0</v>
      </c>
      <c r="E100" s="39">
        <f t="shared" si="232"/>
        <v>0</v>
      </c>
      <c r="F100" s="39">
        <f t="shared" si="232"/>
        <v>0</v>
      </c>
      <c r="G100" s="39">
        <f t="shared" si="232"/>
        <v>0</v>
      </c>
      <c r="H100" s="39">
        <f t="shared" si="232"/>
        <v>0</v>
      </c>
      <c r="I100" s="39">
        <f t="shared" si="232"/>
        <v>0</v>
      </c>
      <c r="J100" s="39">
        <f t="shared" si="232"/>
        <v>0</v>
      </c>
      <c r="K100" s="39">
        <f t="shared" si="232"/>
        <v>0</v>
      </c>
      <c r="L100" s="39">
        <f t="shared" si="232"/>
        <v>0</v>
      </c>
      <c r="M100" s="39">
        <f t="shared" si="232"/>
        <v>0</v>
      </c>
      <c r="N100" s="39">
        <f t="shared" si="232"/>
        <v>0</v>
      </c>
      <c r="O100" s="39">
        <f t="shared" si="232"/>
        <v>0</v>
      </c>
      <c r="P100" s="39">
        <f t="shared" si="232"/>
        <v>0</v>
      </c>
      <c r="Q100" s="39">
        <f t="shared" si="232"/>
        <v>0</v>
      </c>
      <c r="R100" s="39">
        <f t="shared" si="232"/>
        <v>0</v>
      </c>
      <c r="S100" s="39">
        <f t="shared" si="232"/>
        <v>0</v>
      </c>
      <c r="T100" s="39">
        <f t="shared" si="232"/>
        <v>0</v>
      </c>
      <c r="U100" s="39">
        <f t="shared" si="232"/>
        <v>0</v>
      </c>
      <c r="V100" s="39">
        <f t="shared" si="232"/>
        <v>0</v>
      </c>
      <c r="W100" s="39">
        <f t="shared" si="232"/>
        <v>0</v>
      </c>
      <c r="X100" s="39">
        <f t="shared" si="232"/>
        <v>0</v>
      </c>
      <c r="Y100" s="39">
        <f t="shared" ref="Y100:AA100" si="233">(Y80+Y83)-SUM(Y86:Y88)</f>
        <v>0</v>
      </c>
      <c r="Z100" s="39">
        <f t="shared" si="233"/>
        <v>0</v>
      </c>
      <c r="AA100" s="39">
        <f t="shared" si="233"/>
        <v>0</v>
      </c>
      <c r="AB100" s="39">
        <f t="shared" ref="AB100:AD100" si="234">(AB80+AB83)-SUM(AB86:AB88)</f>
        <v>0</v>
      </c>
      <c r="AC100" s="39">
        <f t="shared" si="234"/>
        <v>0</v>
      </c>
      <c r="AD100" s="39">
        <f t="shared" si="234"/>
        <v>0</v>
      </c>
      <c r="AE100" s="39">
        <f t="shared" ref="AE100:AG100" si="235">(AE80+AE83)-SUM(AE86:AE88)</f>
        <v>0</v>
      </c>
      <c r="AF100" s="39">
        <f t="shared" si="235"/>
        <v>0</v>
      </c>
      <c r="AG100" s="39">
        <f t="shared" si="235"/>
        <v>0</v>
      </c>
      <c r="AH100" s="39">
        <f t="shared" ref="AH100:AJ100" si="236">(AH80+AH83)-SUM(AH86:AH88)</f>
        <v>0</v>
      </c>
      <c r="AI100" s="39">
        <f t="shared" si="236"/>
        <v>0</v>
      </c>
      <c r="AJ100" s="39">
        <f t="shared" si="236"/>
        <v>0</v>
      </c>
    </row>
    <row r="101" spans="2:36" ht="15.75" customHeight="1" x14ac:dyDescent="0.25">
      <c r="B101" s="11" t="s">
        <v>152</v>
      </c>
      <c r="C101" s="39">
        <f>C80+C83-C86-C87-C88</f>
        <v>0</v>
      </c>
      <c r="D101" s="39">
        <f t="shared" ref="D101:X101" si="237">D80+D83-D86-D87-D88</f>
        <v>0</v>
      </c>
      <c r="E101" s="39">
        <f t="shared" si="237"/>
        <v>0</v>
      </c>
      <c r="F101" s="39">
        <f t="shared" si="237"/>
        <v>0</v>
      </c>
      <c r="G101" s="39">
        <f t="shared" si="237"/>
        <v>0</v>
      </c>
      <c r="H101" s="39">
        <f t="shared" si="237"/>
        <v>0</v>
      </c>
      <c r="I101" s="39">
        <f t="shared" si="237"/>
        <v>0</v>
      </c>
      <c r="J101" s="39">
        <f t="shared" si="237"/>
        <v>0</v>
      </c>
      <c r="K101" s="39">
        <f t="shared" si="237"/>
        <v>0</v>
      </c>
      <c r="L101" s="39">
        <f t="shared" si="237"/>
        <v>0</v>
      </c>
      <c r="M101" s="39">
        <f t="shared" si="237"/>
        <v>0</v>
      </c>
      <c r="N101" s="39">
        <f t="shared" si="237"/>
        <v>0</v>
      </c>
      <c r="O101" s="39">
        <f t="shared" si="237"/>
        <v>0</v>
      </c>
      <c r="P101" s="39">
        <f t="shared" si="237"/>
        <v>0</v>
      </c>
      <c r="Q101" s="39">
        <f t="shared" si="237"/>
        <v>0</v>
      </c>
      <c r="R101" s="39">
        <f t="shared" si="237"/>
        <v>0</v>
      </c>
      <c r="S101" s="39">
        <f t="shared" si="237"/>
        <v>0</v>
      </c>
      <c r="T101" s="39">
        <f t="shared" si="237"/>
        <v>0</v>
      </c>
      <c r="U101" s="39">
        <f t="shared" si="237"/>
        <v>0</v>
      </c>
      <c r="V101" s="39">
        <f t="shared" si="237"/>
        <v>0</v>
      </c>
      <c r="W101" s="39">
        <f t="shared" si="237"/>
        <v>0</v>
      </c>
      <c r="X101" s="39">
        <f t="shared" si="237"/>
        <v>0</v>
      </c>
      <c r="Y101" s="39">
        <f t="shared" ref="Y101:AA101" si="238">Y80+Y83-Y86-Y87-Y88</f>
        <v>0</v>
      </c>
      <c r="Z101" s="39">
        <f t="shared" si="238"/>
        <v>0</v>
      </c>
      <c r="AA101" s="39">
        <f t="shared" si="238"/>
        <v>0</v>
      </c>
      <c r="AB101" s="39">
        <f t="shared" ref="AB101:AD101" si="239">AB80+AB83-AB86-AB87-AB88</f>
        <v>0</v>
      </c>
      <c r="AC101" s="39">
        <f t="shared" si="239"/>
        <v>0</v>
      </c>
      <c r="AD101" s="39">
        <f t="shared" si="239"/>
        <v>0</v>
      </c>
      <c r="AE101" s="39">
        <f t="shared" ref="AE101:AG101" si="240">AE80+AE83-AE86-AE87-AE88</f>
        <v>0</v>
      </c>
      <c r="AF101" s="39">
        <f>AF80+AF83-AF86-AF87-AF88</f>
        <v>0</v>
      </c>
      <c r="AG101" s="39">
        <f t="shared" si="240"/>
        <v>0</v>
      </c>
      <c r="AH101" s="39">
        <f t="shared" ref="AH101:AJ101" si="241">AH80+AH83-AH86-AH87-AH88</f>
        <v>0</v>
      </c>
      <c r="AI101" s="39">
        <f t="shared" si="241"/>
        <v>0</v>
      </c>
      <c r="AJ101" s="39">
        <f t="shared" si="241"/>
        <v>0</v>
      </c>
    </row>
    <row r="102" spans="2:36" ht="15.75" customHeight="1" x14ac:dyDescent="0.25"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</row>
    <row r="103" spans="2:36" ht="15.75" customHeight="1" x14ac:dyDescent="0.25"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</row>
    <row r="104" spans="2:36" ht="15.75" customHeight="1" x14ac:dyDescent="0.25"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</row>
    <row r="105" spans="2:36" ht="15.75" customHeight="1" x14ac:dyDescent="0.25"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C83:H83 C97:H97 I97:O97 I83:J83 K83:AI83 Q97:S97 U100:Z100 U97:V97 C100:I100 L100:O100 Q100 Y97:AJ97 AB100:AJ100 AJ83" formulaRange="1"/>
    <ignoredError sqref="R72" formula="1"/>
    <ignoredError sqref="W94:X94 W98:X98" evalError="1"/>
    <ignoredError sqref="W97:X97" evalError="1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Características</vt:lpstr>
      <vt:lpstr>Portfolio</vt:lpstr>
      <vt:lpstr>Empreendimentos</vt:lpstr>
      <vt:lpstr>Indicadores Financeiros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Teatini</dc:creator>
  <cp:lastModifiedBy>Lucas Paravizo</cp:lastModifiedBy>
  <dcterms:created xsi:type="dcterms:W3CDTF">2018-06-06T21:22:45Z</dcterms:created>
  <dcterms:modified xsi:type="dcterms:W3CDTF">2021-05-10T23:22:07Z</dcterms:modified>
</cp:coreProperties>
</file>